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1"/>
  </bookViews>
  <sheets>
    <sheet name="FSE" sheetId="1" r:id="rId1"/>
    <sheet name="SAE" sheetId="2" r:id="rId2"/>
    <sheet name="INEM" sheetId="3" r:id="rId3"/>
    <sheet name="AND" sheetId="4" r:id="rId4"/>
    <sheet name="SAE-2007" sheetId="5" r:id="rId5"/>
    <sheet name="SVE" sheetId="6" r:id="rId6"/>
    <sheet name="erasmus" sheetId="7" r:id="rId7"/>
    <sheet name="Leonardo" sheetId="8" r:id="rId8"/>
  </sheets>
  <externalReferences>
    <externalReference r:id="rId11"/>
    <externalReference r:id="rId12"/>
  </externalReferences>
  <definedNames>
    <definedName name="_xlnm.Print_Area" localSheetId="3">'AND'!$A$1:$V$37</definedName>
    <definedName name="_xlnm.Print_Area" localSheetId="0">'FSE'!$A$2:$L$161</definedName>
    <definedName name="_xlnm.Print_Area" localSheetId="2">'INEM'!$B$3:$Y$32</definedName>
    <definedName name="_xlnm.Print_Area" localSheetId="1">'SAE'!$B$3:$Y$60</definedName>
    <definedName name="_xlnm.Print_Area" localSheetId="4">'SAE-2007'!$B$3:$Y$38</definedName>
  </definedNames>
  <calcPr fullCalcOnLoad="1"/>
</workbook>
</file>

<file path=xl/comments1.xml><?xml version="1.0" encoding="utf-8"?>
<comments xmlns="http://schemas.openxmlformats.org/spreadsheetml/2006/main">
  <authors>
    <author/>
  </authors>
  <commentList>
    <comment ref="O83" authorId="0">
      <text>
        <r>
          <rPr>
            <b/>
            <sz val="8"/>
            <color indexed="8"/>
            <rFont val="Tahoma"/>
            <family val="2"/>
          </rPr>
          <t xml:space="preserve">STIC:
</t>
        </r>
        <r>
          <rPr>
            <sz val="8"/>
            <color indexed="8"/>
            <rFont val="Tahoma"/>
            <family val="2"/>
          </rPr>
          <t xml:space="preserve">Beneficiarios: vaios paises, jovenes con poca o ninguna formación, desempleados con poca pormacion e inmigrantes.  </t>
        </r>
      </text>
    </comment>
    <comment ref="O86" authorId="0">
      <text>
        <r>
          <rPr>
            <b/>
            <sz val="8"/>
            <color indexed="8"/>
            <rFont val="Tahoma"/>
            <family val="2"/>
          </rPr>
          <t xml:space="preserve">STIC:
</t>
        </r>
        <r>
          <rPr>
            <sz val="8"/>
            <color indexed="8"/>
            <rFont val="Tahoma"/>
            <family val="2"/>
          </rPr>
          <t>OBJETIVOS: REFLEXIONAR EN EL MARCO DE UN PARTENARIADO TRANSNACIONAL PARA LA CONSTRUCCIÓN DE HERRAMIENTAS TENDENTES A MEJORAR LAS SITUACIONES ACTIVAS DE INSERCIÓN.</t>
        </r>
      </text>
    </comment>
    <comment ref="O92" authorId="0">
      <text>
        <r>
          <rPr>
            <b/>
            <sz val="8"/>
            <color indexed="8"/>
            <rFont val="Tahoma"/>
            <family val="2"/>
          </rPr>
          <t xml:space="preserve">STIC:
</t>
        </r>
        <r>
          <rPr>
            <sz val="8"/>
            <color indexed="8"/>
            <rFont val="Tahoma"/>
            <family val="2"/>
          </rPr>
          <t>BENEFICIARIOS: PERSONAL DOCENTE DE FORMACIÓN PROFESIONAL SUPERIOR DE LA PROVINCIA.
-TÉCNICOS DE LOS SERVICIOS PÚBLICOS DE EMPLEO, JUVENTUD Y FORMACIÓN DE LA PROVINCIA.
.</t>
        </r>
      </text>
    </comment>
    <comment ref="O94" authorId="0">
      <text>
        <r>
          <rPr>
            <b/>
            <sz val="8"/>
            <color indexed="8"/>
            <rFont val="Tahoma"/>
            <family val="2"/>
          </rPr>
          <t xml:space="preserve">STIC:
</t>
        </r>
        <r>
          <rPr>
            <sz val="8"/>
            <color indexed="8"/>
            <rFont val="Tahoma"/>
            <family val="2"/>
          </rPr>
          <t xml:space="preserve">PARTICIPAN: Diputación de la Coruña.
-dip. De Almeria
-Ayt. De Lugo
-concello de Lugo
-Cámara municipal Águeda en Portugal
-Ville de pau Francia
-Pole universitaire Montpellier Francia. </t>
        </r>
      </text>
    </comment>
    <comment ref="R105" authorId="0">
      <text>
        <r>
          <rPr>
            <b/>
            <sz val="8"/>
            <color indexed="8"/>
            <rFont val="Tahoma"/>
            <family val="2"/>
          </rPr>
          <t xml:space="preserve">STIC:
</t>
        </r>
        <r>
          <rPr>
            <b/>
            <sz val="12"/>
            <color indexed="8"/>
            <rFont val="Tahoma"/>
            <family val="2"/>
          </rPr>
          <t>ARENA II</t>
        </r>
        <r>
          <rPr>
            <sz val="12"/>
            <color indexed="8"/>
            <rFont val="Tahoma"/>
            <family val="2"/>
          </rPr>
          <t>. Proyecto multiprovincial. Valoriza la diversidad cultural como motor para la inserción laboral de los inmigrantes en Almería capital, Roquetas de Mar, Vícar y
La Mojonera.</t>
        </r>
      </text>
    </comment>
    <comment ref="R108" authorId="0">
      <text>
        <r>
          <rPr>
            <b/>
            <sz val="12"/>
            <color indexed="8"/>
            <rFont val="Tahoma"/>
            <family val="2"/>
          </rPr>
          <t xml:space="preserve">Concilia-lo: 
</t>
        </r>
        <r>
          <rPr>
            <sz val="12"/>
            <color indexed="8"/>
            <rFont val="Tahoma"/>
            <family val="2"/>
          </rPr>
          <t xml:space="preserve">Proyecto Regional. Para favorecer la conciliación de la vida familiar y la vida profesional. El proyecto Concilia-lo interviene, aunque no exclusivamente, en las administraciones públicas locales como agentes del cambio social en materia de conciliación.
</t>
        </r>
      </text>
    </comment>
    <comment ref="R99" authorId="0">
      <text>
        <r>
          <rPr>
            <b/>
            <sz val="9"/>
            <color indexed="8"/>
            <rFont val="Tahoma"/>
            <family val="2"/>
          </rPr>
          <t xml:space="preserve">ARENA:
</t>
        </r>
        <r>
          <rPr>
            <sz val="12"/>
            <color indexed="8"/>
            <rFont val="Tahoma"/>
            <family val="2"/>
          </rPr>
          <t xml:space="preserve">Entre otras cosas, aborda la necesidad de sensibilización
para la prevención del racismo y la xenofobia.
</t>
        </r>
        <r>
          <rPr>
            <b/>
            <sz val="9"/>
            <color indexed="8"/>
            <rFont val="Tahoma"/>
            <family val="2"/>
          </rPr>
          <t xml:space="preserve">
</t>
        </r>
        <r>
          <rPr>
            <sz val="12"/>
            <color indexed="8"/>
            <rFont val="Tahoma"/>
            <family val="2"/>
          </rPr>
          <t xml:space="preserve">Almería es una de las provincias andaluzas en cuyo mercado
de trabajo tienen mayor repercusión los procesos migratorios.
La población inmigrante establecida en la zona constituye
casi un 25% del total de las personas extranjeras residentes en la comunidad andaluza y está particularmente masculinizada
(un 64% de hombres frente al 36% de mujeres).
</t>
        </r>
      </text>
    </comment>
    <comment ref="O110" authorId="0">
      <text>
        <r>
          <rPr>
            <sz val="12"/>
            <color indexed="8"/>
            <rFont val="Tahoma"/>
            <family val="2"/>
          </rPr>
          <t xml:space="preserve">De los 47 proyectos andaluces aprobados, 14 (el 30% del total) contemplan actuaciones para combatir las distintas formas de discriminación a la hora de acceder al mercado de trabajo
en la provincia de Almería y cuentan con un presupuesto
superior a los 19,4 millones de euros. 9 de estos proyectos (el
64%) están representados por la Consejería de Empleo de la Junta
de Andalucía, que aporta 3,06 millones de euros (el 19,12% de su presupuesto y el 15,73 % del total provincial) en concepto de cofinanciación.
</t>
        </r>
      </text>
    </comment>
    <comment ref="R106" authorId="0">
      <text>
        <r>
          <rPr>
            <b/>
            <sz val="12"/>
            <color indexed="8"/>
            <rFont val="Tahoma"/>
            <family val="2"/>
          </rPr>
          <t xml:space="preserve">Tic@l: 
</t>
        </r>
        <r>
          <rPr>
            <sz val="8"/>
            <color indexed="8"/>
            <rFont val="Tahoma"/>
            <family val="2"/>
          </rPr>
          <t xml:space="preserve">
- </t>
        </r>
        <r>
          <rPr>
            <sz val="12"/>
            <color indexed="8"/>
            <rFont val="Tahoma"/>
            <family val="2"/>
          </rPr>
          <t xml:space="preserve">Proyecto netamente almeriense.
</t>
        </r>
        <r>
          <rPr>
            <sz val="8"/>
            <color indexed="8"/>
            <rFont val="Tahoma"/>
            <family val="2"/>
          </rPr>
          <t xml:space="preserve">
</t>
        </r>
        <r>
          <rPr>
            <sz val="12"/>
            <color indexed="8"/>
            <rFont val="Tahoma"/>
            <family val="2"/>
          </rPr>
          <t xml:space="preserve">Promovido por la Agrupación de Desarrollo “Adaptalmanzora” (asociación estratégica de carácter territorial integrada por la Diputación de Almería, la Asociación de Desarrollo Rural Almanzora y la Asociación de Jóvenes Empresarios de Almería), se enmarca en el área temática destinada a “apoyar la adaptabilidad de las empresas y sus trabajadores” y centra sus actuaciones en la zona geográfica del Valle del Almanzora, integrado por 27 municipios.
Se trata de un proyecto multisectorial centrado en la promoción de las tecnologías de la información y la comunicación (TIC) entre las empresas del valle del Almanzora.
COFINANCIACIÓN DIP DE ALMERIA: 212,058 EUROS </t>
        </r>
      </text>
    </comment>
    <comment ref="M111" authorId="0">
      <text>
        <r>
          <rPr>
            <b/>
            <sz val="8"/>
            <color indexed="8"/>
            <rFont val="Tahoma"/>
            <family val="2"/>
          </rPr>
          <t xml:space="preserve">STIC:
</t>
        </r>
        <r>
          <rPr>
            <b/>
            <sz val="12"/>
            <color indexed="8"/>
            <rFont val="Tahoma"/>
            <family val="2"/>
          </rPr>
          <t xml:space="preserve">Atenea. 
</t>
        </r>
        <r>
          <rPr>
            <sz val="12"/>
            <color indexed="8"/>
            <rFont val="Tahoma"/>
            <family val="2"/>
          </rPr>
          <t xml:space="preserve">El proyecto Atenea se desarrolla en áreas
calificadas como ‘zonas con necesidades
de transformación social’ (ZNTS)
</t>
        </r>
        <r>
          <rPr>
            <b/>
            <sz val="12"/>
            <color indexed="8"/>
            <rFont val="Tahoma"/>
            <family val="2"/>
          </rPr>
          <t xml:space="preserve">
</t>
        </r>
        <r>
          <rPr>
            <sz val="12"/>
            <color indexed="8"/>
            <rFont val="Tahoma"/>
            <family val="2"/>
          </rPr>
          <t>Se desarrolla en el barrio almeriense de El Puche y persigue la inserción sociolaboral de jóvenes, inmigrantes, minorías étnicas y otras personas en riesgo de exclusión con itinerarios personalizados y la promoción del autoempleo.</t>
        </r>
      </text>
    </comment>
    <comment ref="R114" authorId="0">
      <text>
        <r>
          <rPr>
            <b/>
            <sz val="12"/>
            <color indexed="8"/>
            <rFont val="Tahoma"/>
            <family val="2"/>
          </rPr>
          <t xml:space="preserve">En-Activo:
</t>
        </r>
        <r>
          <rPr>
            <sz val="12"/>
            <color indexed="8"/>
            <rFont val="Tahoma"/>
            <family val="2"/>
          </rPr>
          <t xml:space="preserve">Proyecto Regional.
Su propósito es facilitar el acceso y la reincorporación
al mercado laboral de las personas con especiales
dificultades de inserción
</t>
        </r>
        <r>
          <rPr>
            <b/>
            <sz val="8"/>
            <color indexed="8"/>
            <rFont val="Tahoma"/>
            <family val="2"/>
          </rPr>
          <t xml:space="preserve">
</t>
        </r>
        <r>
          <rPr>
            <sz val="8"/>
            <color indexed="8"/>
            <rFont val="Tahoma"/>
            <family val="2"/>
          </rPr>
          <t xml:space="preserve">
</t>
        </r>
      </text>
    </comment>
    <comment ref="R115" authorId="0">
      <text>
        <r>
          <rPr>
            <b/>
            <sz val="12"/>
            <color indexed="8"/>
            <rFont val="Tahoma"/>
            <family val="2"/>
          </rPr>
          <t xml:space="preserve">Iuvenalis:
</t>
        </r>
        <r>
          <rPr>
            <sz val="12"/>
            <color indexed="8"/>
            <rFont val="Tahoma"/>
            <family val="2"/>
          </rPr>
          <t xml:space="preserve">Proyecto Plurirregional (exceden el ámbito andaluz).
Su propósito es facilitar el acceso y la reincorporación
al mercado laboral de las personas con especiales
dificultades de inserción.
</t>
        </r>
        <r>
          <rPr>
            <b/>
            <sz val="8"/>
            <color indexed="8"/>
            <rFont val="Tahoma"/>
            <family val="2"/>
          </rPr>
          <t xml:space="preserve">
</t>
        </r>
        <r>
          <rPr>
            <sz val="8"/>
            <color indexed="8"/>
            <rFont val="Tahoma"/>
            <family val="2"/>
          </rPr>
          <t xml:space="preserve">
</t>
        </r>
      </text>
    </comment>
    <comment ref="R116" authorId="0">
      <text>
        <r>
          <rPr>
            <b/>
            <sz val="12"/>
            <color indexed="8"/>
            <rFont val="Tahoma"/>
            <family val="2"/>
          </rPr>
          <t xml:space="preserve">Fénix:
</t>
        </r>
        <r>
          <rPr>
            <sz val="12"/>
            <color indexed="8"/>
            <rFont val="Tahoma"/>
            <family val="2"/>
          </rPr>
          <t xml:space="preserve">
- Proyecto regional. 
- Aborda el cambio en las empresas andaluzas de economía social (cooperativas de trabajo asociado
y sociedades laborales), para incentivar su capacidad de respuesta a la exigencias del mercado y del entorno socioeconómico actual.</t>
        </r>
      </text>
    </comment>
    <comment ref="O7" authorId="0">
      <text>
        <r>
          <rPr>
            <b/>
            <sz val="8"/>
            <color indexed="8"/>
            <rFont val="Tahoma"/>
            <family val="2"/>
          </rPr>
          <t xml:space="preserve">STIC:
</t>
        </r>
        <r>
          <rPr>
            <sz val="8"/>
            <color indexed="8"/>
            <rFont val="Tahoma"/>
            <family val="2"/>
          </rPr>
          <t>OBJETIVOS: LA INSERCIÓN SOCIO- LABORAL DE LOS COLECTIVOS DESFAVORECIDOS: MÚJERES, PARADOS DE LARGA DURACIÓN , PERSONAS CON MINUSVALIA , PERSONAS EN RIESGO DE EXCLUSIÓN SOCIAL...</t>
        </r>
      </text>
    </comment>
  </commentList>
</comments>
</file>

<file path=xl/sharedStrings.xml><?xml version="1.0" encoding="utf-8"?>
<sst xmlns="http://schemas.openxmlformats.org/spreadsheetml/2006/main" count="790" uniqueCount="424">
  <si>
    <t>Multiple.xls</t>
  </si>
  <si>
    <t xml:space="preserve">                                   FONDO SOCIAL EUROPEO</t>
  </si>
  <si>
    <t>Proyecto</t>
  </si>
  <si>
    <t>Fecha</t>
  </si>
  <si>
    <t>Departamento Implicado</t>
  </si>
  <si>
    <t>Descripción</t>
  </si>
  <si>
    <t>Presupuesto total (euros)</t>
  </si>
  <si>
    <t>Subvención UE (euros)</t>
  </si>
  <si>
    <t>Curso Especializado de Derecho Comunitario Medioambiental</t>
  </si>
  <si>
    <t>Formación</t>
  </si>
  <si>
    <t>Educación Y Formación (FSE)</t>
  </si>
  <si>
    <t>CERES III</t>
  </si>
  <si>
    <t>Mujer</t>
  </si>
  <si>
    <t>Mujeres y Empleo (FSE)</t>
  </si>
  <si>
    <t>Programa y actividades formativas para mujeres en la industria del mármol</t>
  </si>
  <si>
    <t>Lucha contra la discriminación (FSE)</t>
  </si>
  <si>
    <t>Proyectos para fomentar la inclusión social y laboral de la mujer</t>
  </si>
  <si>
    <t>FSE_Desglose parcial</t>
  </si>
  <si>
    <t>Servicios rurales de acompañamiento al empleo para mujeres. Alpujarra</t>
  </si>
  <si>
    <t>Sensiblización y apoyo a la mujer inmigrante. Violencia de género</t>
  </si>
  <si>
    <t>"Programa Clara" Instituto de la Mujer</t>
  </si>
  <si>
    <t>Diagnóstico y situacion:Mujeres, discapacidad y empleo en Almería</t>
  </si>
  <si>
    <t>Fundación Luis Vives</t>
  </si>
  <si>
    <t>Emprendedores-Programa Crece.</t>
  </si>
  <si>
    <t>Mujer y empleo(FSE)</t>
  </si>
  <si>
    <t>-</t>
  </si>
  <si>
    <t>Implantación de las nuevas tecnologías en la gestión del empleo para pers.discap."</t>
  </si>
  <si>
    <t>Cursos F.P. Ocupacional para mujeres del ámbito local</t>
  </si>
  <si>
    <t>JA-CIBS-con varias EELL</t>
  </si>
  <si>
    <t>Programa de empleo de Mujeres por ent. Locales  Adra</t>
  </si>
  <si>
    <t>Ayt. De Adra</t>
  </si>
  <si>
    <t>Programa de empleo de Mujeres por ent. Locales  Albox</t>
  </si>
  <si>
    <t>Ayt. De Albox</t>
  </si>
  <si>
    <t>Ayt. De Cuevas del Almanzora</t>
  </si>
  <si>
    <t>Ayt. De Huércal- Overa</t>
  </si>
  <si>
    <t>Programa de empleo de Mujeres por ent. Locales  Macael</t>
  </si>
  <si>
    <t>Ayt. De Macael</t>
  </si>
  <si>
    <t>Programa de empleo de Mujeres por ent. Locales  Nijar</t>
  </si>
  <si>
    <t>Ayt. De Nijar</t>
  </si>
  <si>
    <t>Programa de empleo de Mujeres por ent. Locales  Roquetas de Mar</t>
  </si>
  <si>
    <t>Ayt. De Roquetas de Mar</t>
  </si>
  <si>
    <t>Programa de empleo de Mujeres por ent. Locales  Vélez Rubio</t>
  </si>
  <si>
    <t>Ayt. De Vélez Rubio</t>
  </si>
  <si>
    <t>Programa de empleo de Mujeres por ent. Locales  Vera</t>
  </si>
  <si>
    <t>Ayt. De Vera</t>
  </si>
  <si>
    <t>Programa de empleo de Mujeres por ent. Locales  Vicar</t>
  </si>
  <si>
    <t>Ayt. De Vícar</t>
  </si>
  <si>
    <t>Ayt. De Vera; Consejería para la Igualdad y Bienestar Social</t>
  </si>
  <si>
    <t>Ayt. De Macael; Consejería para la Igualdad y Bienestar Social</t>
  </si>
  <si>
    <t>Ayt. De Huércal- Overa; Consejería para la Igualdad y Bienestar Social</t>
  </si>
  <si>
    <t>Ayt. De Vícar; Consejería para la Igualdad y Bienestar Social</t>
  </si>
  <si>
    <t>Ayt. De Roquetas de Mar; Consejería para la Igualdad y Bienestar Social</t>
  </si>
  <si>
    <t>Ayt. De Cuevas del Almanzora; Consejería para la Igualdad y Bienestar Social</t>
  </si>
  <si>
    <t>Ayt. De Adra; Consejería para la Igualdad y Bienestar Social</t>
  </si>
  <si>
    <t>Ayt. De Vélez Rubio; Consejería para la Igualdad y Bienestar Social</t>
  </si>
  <si>
    <t>Programa de empleo de Mujeres por ent. Locales  El Ejido</t>
  </si>
  <si>
    <t>Ayt. De El Ejido; Consejería para la Igualdad y Bienestar Social</t>
  </si>
  <si>
    <t>Ayt. De Nijar; Consejería para la Igualdad y Bienestar Social</t>
  </si>
  <si>
    <t>Consejería para la Igualdad y Bienestar Social</t>
  </si>
  <si>
    <t>Proyectos Europeos</t>
  </si>
  <si>
    <t>Ayto El Ejido</t>
  </si>
  <si>
    <t>Proyectos para fomentar la empleabilidad</t>
  </si>
  <si>
    <t>Mejora de los Servicios Públicos (FSE)</t>
  </si>
  <si>
    <t>Educación y formación (FSE)</t>
  </si>
  <si>
    <t>COMENTARIO</t>
  </si>
  <si>
    <t>DIPALME-Proyectos Europeos</t>
  </si>
  <si>
    <t>"Europa Joven por la Interculturalidad"</t>
  </si>
  <si>
    <t>Proyectos para promover la cooperación transnacional e interregional</t>
  </si>
  <si>
    <t>Proyectos transnacionales y Redes (FSE)</t>
  </si>
  <si>
    <t>"Collectivités Territoriales Apprenantes" Asociación Lasa Brandenburg, Alemania</t>
  </si>
  <si>
    <t>Intervención en Jóvenes de 16 a 25 años en el medio rural. URFL Borgoña, Fr</t>
  </si>
  <si>
    <t>"Culinary Heritage Europe" Carrefour Sur de Suecia. INTERREG III C (NORTE)</t>
  </si>
  <si>
    <t>DIPALME- Patronato Prov. de Turismo</t>
  </si>
  <si>
    <t>INTERREG_Collectivités Territoriales Apprenantes CTA</t>
  </si>
  <si>
    <t>2003-2004</t>
  </si>
  <si>
    <t>Prog. De redes europeas que promuevean la dimesión local</t>
  </si>
  <si>
    <t>"Internet para Todos". Iniciativa de Gobierno Info XXI</t>
  </si>
  <si>
    <t xml:space="preserve">Propesca Siglo XXI. </t>
  </si>
  <si>
    <t>Acciones Innovadoras(FSE)</t>
  </si>
  <si>
    <t>Herramientas de Observación en el ámbito laboral I. URFOL Borgoña, Fr.</t>
  </si>
  <si>
    <t>DIPALME-Centro Día Drogodepe.</t>
  </si>
  <si>
    <t>Herramientas de Observación en el ámbito laboral II. URFOL Borgoña, Fr.</t>
  </si>
  <si>
    <t>Centro Día Drogodepe.</t>
  </si>
  <si>
    <t>New Europe, new twinning</t>
  </si>
  <si>
    <t>Foro Jóvenes del Arco Latino. Red Europea Arco Latino</t>
  </si>
  <si>
    <t>"Atrévete con Europa y muévete"</t>
  </si>
  <si>
    <t>Proyectos Europeos, Instituto andaluz de la juventud y delegación de empleo de la J.A.</t>
  </si>
  <si>
    <t>"Atrévete con Europa y muévete II"</t>
  </si>
  <si>
    <t>Red de participación y servicios digitales en territorios rurales (INTERREG IV B)</t>
  </si>
  <si>
    <t>Proyectos Iniciativa Comunitaria EQUAL</t>
  </si>
  <si>
    <t>Igualdad y Mejora del mercado laboral</t>
  </si>
  <si>
    <t>Acceso al empleo e inclusión social (FSE)</t>
  </si>
  <si>
    <t>"Arena" AD Mosaico (I. Comunitaria Equal)</t>
  </si>
  <si>
    <t>Inmigración</t>
  </si>
  <si>
    <t>ARENA II. AD Mosaico. Iniciativa Comunitaria Equal</t>
  </si>
  <si>
    <t>Ayt. De Almería</t>
  </si>
  <si>
    <t>Pioneros 106 SUR  2001-2004</t>
  </si>
  <si>
    <t xml:space="preserve">Desarrollo Rural y sostenible para gene. Empleo </t>
  </si>
  <si>
    <t>Atenea 422   2005-2007</t>
  </si>
  <si>
    <t>E-Andaluzas  2005-2007</t>
  </si>
  <si>
    <t>Interlocutotres sociales por el Envejecimiento Activo    2005-2007</t>
  </si>
  <si>
    <t>Iuvenalis    2005-2007</t>
  </si>
  <si>
    <t>Eurorromí   2005-2007</t>
  </si>
  <si>
    <t>igualdad y bienestar social</t>
  </si>
  <si>
    <t>FÉNIX    2005-2007</t>
  </si>
  <si>
    <t>2000-2006</t>
  </si>
  <si>
    <t>MAP-Subvención Global para EELL</t>
  </si>
  <si>
    <t>DIPALME-Área de Coop. Local</t>
  </si>
  <si>
    <t>Rehabilitación de espacios urbanos</t>
  </si>
  <si>
    <t>Pleamar II</t>
  </si>
  <si>
    <t>Programa de formación de Ayuda a Domicilio y atención a la Infancia</t>
  </si>
  <si>
    <t>Ayto Almeria</t>
  </si>
  <si>
    <t>Formación y desarrollo Integral</t>
  </si>
  <si>
    <t>Ayt. De El Ejido</t>
  </si>
  <si>
    <t>Marea inetgradora: medidas y acciones relacionadas con el empleo e integracion.</t>
  </si>
  <si>
    <t>PILA "Proyecto de inserción laboral en Almeria"</t>
  </si>
  <si>
    <t>Pleyades- Roquetas de Mar</t>
  </si>
  <si>
    <t>Programa de formación de atención especializada en enfermos de Alzeimer</t>
  </si>
  <si>
    <t>Formación y desarrollo Rural</t>
  </si>
  <si>
    <t>2005-2006</t>
  </si>
  <si>
    <t>SAE</t>
  </si>
  <si>
    <t>2006-2007</t>
  </si>
  <si>
    <t>2007-2009</t>
  </si>
  <si>
    <t>2007-2008</t>
  </si>
  <si>
    <t>total:</t>
  </si>
  <si>
    <t>ET/CO/TE</t>
  </si>
  <si>
    <t>Ayt. De Albox;+ Consejería para la Igualdad y B Social</t>
  </si>
  <si>
    <t>2000-2009</t>
  </si>
  <si>
    <t>FOMENTO DE EMPLEO E IGUALDAD:</t>
  </si>
  <si>
    <t>% FSE</t>
  </si>
  <si>
    <t>total FSE</t>
  </si>
  <si>
    <t>FOMENTO DE LA CONTRATACIÓN</t>
  </si>
  <si>
    <t>Incentivos al empleo discapac. y Centros Especiales de Empleo</t>
  </si>
  <si>
    <t>medidas coyunturales y urgentes (MEMTA, PROTEJA)</t>
  </si>
  <si>
    <t>APOYO AL AUTOEMPLEO</t>
  </si>
  <si>
    <t>programas de asesoramiento y asistencia técnica al autoempleo</t>
  </si>
  <si>
    <t>Ayudas para los NYE (Orden 6-abril-2009 CE)</t>
  </si>
  <si>
    <t>ayudas para el inicio de actividad</t>
  </si>
  <si>
    <t>microcréditos</t>
  </si>
  <si>
    <t>PROGRAMAS MIXTOS DE FORMACIÓN Y EMPLEO</t>
  </si>
  <si>
    <t>programas ET/CO/TE</t>
  </si>
  <si>
    <t>programas UPD</t>
  </si>
  <si>
    <t>programas de Talleres de Oficios y Escuelas de Empleo</t>
  </si>
  <si>
    <t>(experiencias mixtas para el empleo)</t>
  </si>
  <si>
    <t>INTERMEDIACIÓN E INSERCIÓN</t>
  </si>
  <si>
    <t>APLICACIONES INFORMÁTICAS</t>
  </si>
  <si>
    <t>HERMES sistema de gestión de intermediación laboral</t>
  </si>
  <si>
    <t>CONTRAT@ para registro de contratos laborales</t>
  </si>
  <si>
    <t>GEFOC para gestioón de formación ocupacional</t>
  </si>
  <si>
    <t>PAGE sistema de ayuda a la gestión del empleo</t>
  </si>
  <si>
    <t>ANDALUCIA ORIENTA</t>
  </si>
  <si>
    <t>INTERRELACIÓN DE LA OFERTA Y LA DEMANDA</t>
  </si>
  <si>
    <t>OFICINAS DEL SAE</t>
  </si>
  <si>
    <t>CENTROS ANDALUCÍA ORIENTA</t>
  </si>
  <si>
    <t>Programa  de experiencias profesionales para el empleo</t>
  </si>
  <si>
    <t>Programa  de acciones experimentales</t>
  </si>
  <si>
    <t>APOYO AL DESARROLLO RURAL</t>
  </si>
  <si>
    <t>UTEDLT</t>
  </si>
  <si>
    <t>ALPES</t>
  </si>
  <si>
    <t>OBSERVATORIO ARGOS LOCAL</t>
  </si>
  <si>
    <t>FORMACIÓN PARA EL EMPLEO</t>
  </si>
  <si>
    <t>FORMACIÓN Y CUALIFICACIÓN DEL DESEMPLEADO Y TRABAJADOR</t>
  </si>
  <si>
    <t>programas de FORMACIÓN PROFESIONAL OCUPACIONAL</t>
  </si>
  <si>
    <t>programas de FORMACIÓN CONTINUA para trabajadores</t>
  </si>
  <si>
    <t>no</t>
  </si>
  <si>
    <t>(cof al menos publicaciones)</t>
  </si>
  <si>
    <t>INEM</t>
  </si>
  <si>
    <t>Servicio Andaluz de Empleo</t>
  </si>
  <si>
    <t>Ayto. Almería</t>
  </si>
  <si>
    <t>SAE | La Traiña | Cruz Roja Almeria |CIBS</t>
  </si>
  <si>
    <t xml:space="preserve">Incentivos al empleo estable </t>
  </si>
  <si>
    <t>2005-4ª FASE</t>
  </si>
  <si>
    <t>I</t>
  </si>
  <si>
    <t>II</t>
  </si>
  <si>
    <t>IV</t>
  </si>
  <si>
    <t>alumnos</t>
  </si>
  <si>
    <t>financiado-SAE</t>
  </si>
  <si>
    <t>proyectos nuevos</t>
  </si>
  <si>
    <t>AND.ORIENTA</t>
  </si>
  <si>
    <t>AL capital</t>
  </si>
  <si>
    <t>PROVINCIA</t>
  </si>
  <si>
    <t>cálculo del coste</t>
  </si>
  <si>
    <t>sub. SAE</t>
  </si>
  <si>
    <t>nºALPES</t>
  </si>
  <si>
    <t>T+AA</t>
  </si>
  <si>
    <t>Programa  de estudios y campañas para la promoción local</t>
  </si>
  <si>
    <t>POLITICAS ACTIVAS DE EMPLEO cofinanciadas con FSE</t>
  </si>
  <si>
    <t>total-aprox.</t>
  </si>
  <si>
    <t xml:space="preserve">incentivos para iniciativas trabajo autonomo </t>
  </si>
  <si>
    <t>Programa de acompañamiento a la inserción</t>
  </si>
  <si>
    <t>Unidades de Barrio</t>
  </si>
  <si>
    <t>expedientes I+E</t>
  </si>
  <si>
    <t>ver memoria-2007</t>
  </si>
  <si>
    <t>cajeros SAE-"renuev@ tu demanda"</t>
  </si>
  <si>
    <t>estimado</t>
  </si>
  <si>
    <t>nº cursos</t>
  </si>
  <si>
    <t>inversion</t>
  </si>
  <si>
    <t>becas</t>
  </si>
  <si>
    <t>CRO_Centro de Referencia Orienta y servicio telemático (FAFFE)</t>
  </si>
  <si>
    <t>FAFFE</t>
  </si>
  <si>
    <t>CURSOS FORMACIÓN-FPO</t>
  </si>
  <si>
    <t>otras medidas_(formación para colectivos específicos-FAFFE)</t>
  </si>
  <si>
    <t>CRO-(FAFFE)</t>
  </si>
  <si>
    <t>V</t>
  </si>
  <si>
    <t>III</t>
  </si>
  <si>
    <t>UPD III(2003-2005)</t>
  </si>
  <si>
    <t>Almería</t>
  </si>
  <si>
    <t>Cádiz</t>
  </si>
  <si>
    <t>Córdoba</t>
  </si>
  <si>
    <t>Granada</t>
  </si>
  <si>
    <t>Huelva</t>
  </si>
  <si>
    <t>Jaén</t>
  </si>
  <si>
    <t>Málaga</t>
  </si>
  <si>
    <t>Sevilla</t>
  </si>
  <si>
    <t>INE-2007</t>
  </si>
  <si>
    <t>AND</t>
  </si>
  <si>
    <t>ESP</t>
  </si>
  <si>
    <t>programas ET/CO/TE y UPD</t>
  </si>
  <si>
    <t>AND.</t>
  </si>
  <si>
    <t>ALMERIA</t>
  </si>
  <si>
    <t>ayudas a empresas I+E</t>
  </si>
  <si>
    <t>proyectos de interes general y social</t>
  </si>
  <si>
    <t>empleo estable</t>
  </si>
  <si>
    <t>POLITICAS ACTIVAS DE EMPLEO TOTALES-2007</t>
  </si>
  <si>
    <t>fomento del trabajo autónomo</t>
  </si>
  <si>
    <t>FORMACIÓN-2007</t>
  </si>
  <si>
    <t>€</t>
  </si>
  <si>
    <t>cursiva=</t>
  </si>
  <si>
    <t>aproximado</t>
  </si>
  <si>
    <t>cursos FPO</t>
  </si>
  <si>
    <t>total</t>
  </si>
  <si>
    <t>importe ejecutado</t>
  </si>
  <si>
    <t>FCONtinua</t>
  </si>
  <si>
    <t>FPO</t>
  </si>
  <si>
    <t>FC</t>
  </si>
  <si>
    <t>s/almeria</t>
  </si>
  <si>
    <t>s/AND</t>
  </si>
  <si>
    <t>desglose:</t>
  </si>
  <si>
    <t>cursos</t>
  </si>
  <si>
    <t>intersectoriales</t>
  </si>
  <si>
    <t>sectoriales</t>
  </si>
  <si>
    <t>autónomos</t>
  </si>
  <si>
    <t>econ.social</t>
  </si>
  <si>
    <t>subvencion SAE</t>
  </si>
  <si>
    <t>% sobre total AND</t>
  </si>
  <si>
    <t>*ALM supera la media que le correspondería por población en FCONTINUA</t>
  </si>
  <si>
    <t xml:space="preserve">pero es inferior en FPO a lo que le correspondería </t>
  </si>
  <si>
    <t>según MEMO-DDPP-SAE</t>
  </si>
  <si>
    <t>becas para FPO</t>
  </si>
  <si>
    <t>proyectos de movilidad HERCULES-LEONARDO DA VINCI</t>
  </si>
  <si>
    <t>*ALM es muy inferior a lo que le correspondería en total de politicas activas SAE</t>
  </si>
  <si>
    <t>AL-2005</t>
  </si>
  <si>
    <t xml:space="preserve">Apoyo al empleo en proyectos de interés social, </t>
  </si>
  <si>
    <t>(PFEA) proy de interes general y social cofinanciado para EELL</t>
  </si>
  <si>
    <t>subvención para contratos-programa</t>
  </si>
  <si>
    <t>ALPES de Diputación Provincial y Ayuntamiento de Almería</t>
  </si>
  <si>
    <t>Dipalme</t>
  </si>
  <si>
    <t>Ayto.Almeria</t>
  </si>
  <si>
    <t>proyectos de formación en la Escuela del Mármol de AND</t>
  </si>
  <si>
    <t>%/ TOTAL COF.</t>
  </si>
  <si>
    <t>COFINANCIACIÓN EUR</t>
  </si>
  <si>
    <t xml:space="preserve">ALMERÍA </t>
  </si>
  <si>
    <t>suma-ALMERIA</t>
  </si>
  <si>
    <t xml:space="preserve">Programa de movilidad europea ERASMUS </t>
  </si>
  <si>
    <t>2001-2008</t>
  </si>
  <si>
    <t>UNIVERSIDAD DE ALMERÍA</t>
  </si>
  <si>
    <t xml:space="preserve">AYUDA COMUNITARIA ESTUDIANTES (91): </t>
  </si>
  <si>
    <t xml:space="preserve">Cooperación en la enseñanza superior; </t>
  </si>
  <si>
    <t>ayudas a estudiantes y profesores</t>
  </si>
  <si>
    <t xml:space="preserve">AYUDA COMUNITARIA ESTUDIANTES (122): </t>
  </si>
  <si>
    <t>2001-2002</t>
  </si>
  <si>
    <t>2002-2003</t>
  </si>
  <si>
    <t>2004-2005</t>
  </si>
  <si>
    <t>AYUDA COMUNITARIA ESTUDIANTES (160):</t>
  </si>
  <si>
    <t xml:space="preserve">AYUDA COMUNITARIA ESTUDIANTES (146): </t>
  </si>
  <si>
    <t xml:space="preserve">AYUDA COMUNITARIA ESTUDIANTES (192): </t>
  </si>
  <si>
    <t xml:space="preserve">AYUDA COMUNITARIA ESTUDIANTES (195): </t>
  </si>
  <si>
    <t>AYUDA COMUNITARIA PROFESORES (13):</t>
  </si>
  <si>
    <t>AYUDA COMUNITARIA PROFESORES (13)</t>
  </si>
  <si>
    <t>AYUDA COMUNITARIA PROFESORES (14):</t>
  </si>
  <si>
    <t xml:space="preserve">AYUDA COMUNITARIA PROFESORES (16): </t>
  </si>
  <si>
    <t>AYUDA COMUNITARIA PROFESORES (11):</t>
  </si>
  <si>
    <t>AYUDA COMUNITARIA PROFESORES (19):</t>
  </si>
  <si>
    <t>La Formación Orientada al Empleo (FOE)</t>
  </si>
  <si>
    <t>JA-Consejeria de empleo-SAE</t>
  </si>
  <si>
    <t>2004-2009</t>
  </si>
  <si>
    <t>programas / ayudas / recursos / …</t>
  </si>
  <si>
    <t>PROGRAMA DE AEDLS</t>
  </si>
  <si>
    <t>AEDLS de Diputación Provincial y Ayuntamiento de Almería</t>
  </si>
  <si>
    <t>% AND</t>
  </si>
  <si>
    <t>Subvenciones Globales FSE</t>
  </si>
  <si>
    <t>2001-2009</t>
  </si>
  <si>
    <t>desgloses parciales</t>
  </si>
  <si>
    <t>%</t>
  </si>
  <si>
    <t>POBLACIÓN</t>
  </si>
  <si>
    <t>comprobado</t>
  </si>
  <si>
    <t>Dipalme-Servicio de la Mujer</t>
  </si>
  <si>
    <t>Ministerio Asuntos Sociales -Instituto de la Mujer</t>
  </si>
  <si>
    <t>P.O. Lucha contra la discriminación (FSE)</t>
  </si>
  <si>
    <t>2001-2004</t>
  </si>
  <si>
    <t>DIPALME</t>
  </si>
  <si>
    <t>Programa de movilidad europea LEONARDO</t>
  </si>
  <si>
    <t>JA-CIBS / DIPALME / EELL</t>
  </si>
  <si>
    <t>INEM-SPEE</t>
  </si>
  <si>
    <t>TIYARADAPT 2001-2004</t>
  </si>
  <si>
    <t>PROYECTOS PARA FOMENTAR LA INCLUSIÓN   SOCIOLABORAL DE LA MUJER</t>
  </si>
  <si>
    <t>Formación / progrmas / sensibilización/ …</t>
  </si>
  <si>
    <t>AGE-EELL</t>
  </si>
  <si>
    <t>COFINACIADO por FSE</t>
  </si>
  <si>
    <t>TOTAL ANUAL (2007)</t>
  </si>
  <si>
    <t>TOTAL AND.</t>
  </si>
  <si>
    <t xml:space="preserve">P.O. Lucha contra la Discriminación del FSE  </t>
  </si>
  <si>
    <t>NOTA: tabla parcialmente desplegada. Se proporcionan los datos completos en CD adjunto.</t>
  </si>
  <si>
    <t>FSE_total provincia de Almería</t>
  </si>
  <si>
    <t>% DEL TOTAL FONDOS EUROPEOS-ALMERIA 2000-2009:</t>
  </si>
  <si>
    <t>Servicio de Voluntariado Europeo</t>
  </si>
  <si>
    <t>JA-Consejería Igualdad y Bienestar Social</t>
  </si>
  <si>
    <t>beneficiarios</t>
  </si>
  <si>
    <t>SVE. Servicio de Voluntariado Europeo en Almería</t>
  </si>
  <si>
    <t>iniciativa europea</t>
  </si>
  <si>
    <t>estudiantes:</t>
  </si>
  <si>
    <t>profesores:</t>
  </si>
  <si>
    <t>voluntarios:</t>
  </si>
  <si>
    <t>APOYO AL DESARROLLO LOCAL</t>
  </si>
  <si>
    <t>según MEMO-AND-SAE</t>
  </si>
  <si>
    <t>"Almería por la formación y la inserción laboral" (ALFIL)</t>
  </si>
  <si>
    <t>"Almería por la formación y la inserción laboral II" (ALFIL-2)</t>
  </si>
  <si>
    <r>
      <t>Proyectos Europeos Transnacionales-</t>
    </r>
    <r>
      <rPr>
        <sz val="14"/>
        <color indexed="9"/>
        <rFont val="Arial"/>
        <family val="2"/>
      </rPr>
      <t>Interregionales</t>
    </r>
  </si>
  <si>
    <t>FOMENTO DE EMPLEO E IGUALDAD</t>
  </si>
  <si>
    <t>Proyecto UNIVERSEM</t>
  </si>
  <si>
    <t>IAM-UAL</t>
  </si>
  <si>
    <t>2008-2009</t>
  </si>
  <si>
    <t>inserción laboral de universitarias</t>
  </si>
  <si>
    <t xml:space="preserve">programa  europeo Juventud en Acción </t>
  </si>
  <si>
    <t>programa europeo de Aprendizaje Permanente</t>
  </si>
  <si>
    <t xml:space="preserve">combatir el racismo y la xenofobia </t>
  </si>
  <si>
    <t xml:space="preserve">Acceso al empleo e inclusión social </t>
  </si>
  <si>
    <t xml:space="preserve">Lucha contra la discriminación </t>
  </si>
  <si>
    <t xml:space="preserve">apoyar la eliminación de segregación en el trabajo </t>
  </si>
  <si>
    <t xml:space="preserve">Adaptabilidad de las empresas </t>
  </si>
  <si>
    <t>2005-2007</t>
  </si>
  <si>
    <t>Reducir los desequillibrios de género</t>
  </si>
  <si>
    <t>Construyendo futuro (proyecto regional)</t>
  </si>
  <si>
    <t>provincias</t>
  </si>
  <si>
    <t>FSE-parcial del proyecto</t>
  </si>
  <si>
    <t>% ALM</t>
  </si>
  <si>
    <t>FSE_Almería</t>
  </si>
  <si>
    <t>"Almería Emprende" AD Almería por el Empleo</t>
  </si>
  <si>
    <t xml:space="preserve">"Estrategias para el Empleo" </t>
  </si>
  <si>
    <t>TIC@L_Tecnologías de la Información y Com. en el Almanzora</t>
  </si>
  <si>
    <t>TIC y adaptación de empresas</t>
  </si>
  <si>
    <t xml:space="preserve">"ITACA-Empleo e Igualdad en Clave Local" AD LocalRed </t>
  </si>
  <si>
    <t>SAE / DIPALME / EELL / ONG / …</t>
  </si>
  <si>
    <t>2001-2006</t>
  </si>
  <si>
    <t xml:space="preserve">Proyecto COMCILIA-LO "Experiencias de Conciliación en lo local" </t>
  </si>
  <si>
    <t xml:space="preserve">Facilitar el acceso y la reincorporacion al mercado de trabajo </t>
  </si>
  <si>
    <t>SAE + 8 cap.prov + CCcomercio +CEA +Sindicatos</t>
  </si>
  <si>
    <t>Programa de empleo de Mujeres por EELL  Cuevas de Almanzora</t>
  </si>
  <si>
    <t>Programa de empleo de Mujeres por ent. Locales  Huercal Overa</t>
  </si>
  <si>
    <t>SERVICIO DE VOLUNTARIADO EUROPEO</t>
  </si>
  <si>
    <t>AÑO</t>
  </si>
  <si>
    <t>Nº PARTICIPANTES</t>
  </si>
  <si>
    <t>FINANCIACIÓN U.E.</t>
  </si>
  <si>
    <t>ERASMUS</t>
  </si>
  <si>
    <t>nº alumnos</t>
  </si>
  <si>
    <t>nº profesores</t>
  </si>
  <si>
    <t>CURSO 2001/2002</t>
  </si>
  <si>
    <t xml:space="preserve">AYUDA COMUNITARIA ESTUDIANTES: </t>
  </si>
  <si>
    <t>AYUDA COMUNITARIA PROFESORES:</t>
  </si>
  <si>
    <t>CURSO 2002/2003</t>
  </si>
  <si>
    <t>CURSO 2004/2005</t>
  </si>
  <si>
    <t>CURSO 2005/2006</t>
  </si>
  <si>
    <t xml:space="preserve">AYUDA COMUNITARIA PROFESORES: </t>
  </si>
  <si>
    <t>ayuda ESTUDIANTES_total 2001-2006</t>
  </si>
  <si>
    <t>ayuda PROFESORES_total 2001-2006</t>
  </si>
  <si>
    <t>y cooperación al desarrollo de la Universidad de Almería.</t>
  </si>
  <si>
    <t>CURSO 2006/2007</t>
  </si>
  <si>
    <t>CURSO 2007/2008</t>
  </si>
  <si>
    <t>TOTALES:</t>
  </si>
  <si>
    <t>FSE</t>
  </si>
  <si>
    <t>población de ALM respecto AND.</t>
  </si>
  <si>
    <t xml:space="preserve">Programa Leonardo da Vinci - MOVILIDAD </t>
  </si>
  <si>
    <t>Convocatoria:  2000</t>
  </si>
  <si>
    <t>Beneficiarios</t>
  </si>
  <si>
    <t>Subvención</t>
  </si>
  <si>
    <t>España</t>
  </si>
  <si>
    <t>Andalucía</t>
  </si>
  <si>
    <t>Convocatoria:  2001</t>
  </si>
  <si>
    <t>Convocatoria:  2002</t>
  </si>
  <si>
    <t>Convocatoria:  2003</t>
  </si>
  <si>
    <t>Convocatoria:  2004</t>
  </si>
  <si>
    <t>Convocatoria:  2005</t>
  </si>
  <si>
    <t>Fundación Mediterránea Ual</t>
  </si>
  <si>
    <t>OTROS ALMERIA</t>
  </si>
  <si>
    <t>Convocatoria:  2006</t>
  </si>
  <si>
    <t>Convocatoria:  2007</t>
  </si>
  <si>
    <t>Convocatoria:  2008</t>
  </si>
  <si>
    <t>Convocatoria:  2009</t>
  </si>
  <si>
    <t>€ / alumno</t>
  </si>
  <si>
    <r>
      <t>FUENTE</t>
    </r>
    <r>
      <rPr>
        <sz val="8"/>
        <rFont val="Arial Narrow"/>
        <family val="2"/>
      </rPr>
      <t xml:space="preserve">: vicerrectorado de internacionalización </t>
    </r>
  </si>
  <si>
    <t>TOTAL</t>
  </si>
  <si>
    <t>COF. POL. ACT.EMPLEO</t>
  </si>
  <si>
    <t>%FF-EUR-ALM2000-2009</t>
  </si>
  <si>
    <t>DE OFERTA</t>
  </si>
  <si>
    <t>DE DEMANDA</t>
  </si>
  <si>
    <t>CENTROS OPEA</t>
  </si>
  <si>
    <t>años</t>
  </si>
  <si>
    <t>experiencias mixtas para el empleo y formación</t>
  </si>
  <si>
    <t>programa UPD</t>
  </si>
  <si>
    <t>Unidad de Promoción y Desarrollo</t>
  </si>
  <si>
    <r>
      <t xml:space="preserve">programas ET/CO/TE. </t>
    </r>
    <r>
      <rPr>
        <sz val="9"/>
        <rFont val="Arial Narrow"/>
        <family val="2"/>
      </rPr>
      <t>Escuelas-Taller, Casas de Oficios y Talleres de Empleo</t>
    </r>
  </si>
  <si>
    <t>otras medidas_(formación para colectivos específicos)</t>
  </si>
  <si>
    <t>% del total</t>
  </si>
  <si>
    <t>MODERNIZACIÓN DEL SISTEMA PÚBLICO DE EMPLEO EN ANDALUCIA</t>
  </si>
  <si>
    <t xml:space="preserve">incentivos para iniciativas de trabajo autonomo </t>
  </si>
  <si>
    <t>Ayudas destinadas a empresas calificadas como I+E</t>
  </si>
  <si>
    <r>
      <t xml:space="preserve">UTEDLT. </t>
    </r>
    <r>
      <rPr>
        <sz val="9"/>
        <rFont val="Arial Narrow"/>
        <family val="2"/>
      </rPr>
      <t>Unidades Territoriales de Empleo, Desarrollo Local y Tecnológico</t>
    </r>
  </si>
  <si>
    <t>Apoyo al empleo en Proyectos de Interés Social</t>
  </si>
  <si>
    <t>proyectos de formación en la Escuela del Mármol de Andalucía</t>
  </si>
  <si>
    <t>POBLACIÓN ACTIVA</t>
  </si>
  <si>
    <t>COFINANCIACIÓN EUROPEA</t>
  </si>
  <si>
    <t>TOTAL ANUAL (2007):</t>
  </si>
  <si>
    <t>!</t>
  </si>
  <si>
    <t>otros</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</si>
</sst>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 [$€]_-;_-@_-"/>
    <numFmt numFmtId="165" formatCode="#,##0&quot; €&quot;;[Red]\-#,##0&quot; €&quot;"/>
    <numFmt numFmtId="166" formatCode="0.0%"/>
    <numFmt numFmtId="167" formatCode="_-* #,##0.0\ [$€]_-;\-* #,##0.0\ [$€]_-;_-* \-??\ [$€]_-;_-@_-"/>
    <numFmt numFmtId="168" formatCode="_-* #,##0\ [$€]_-;\-* #,##0\ [$€]_-;_-* \-??\ [$€]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quot;€&quot;;[Red]\-#,##0.0\ &quot;€&quot;"/>
    <numFmt numFmtId="174" formatCode="_-* #,##0.0\ _€_-;\-* #,##0.0\ _€_-;_-* &quot;-&quot;??\ _€_-;_-@_-"/>
    <numFmt numFmtId="175" formatCode="_-* #,##0\ _€_-;\-* #,##0\ _€_-;_-* &quot;-&quot;??\ _€_-;_-@_-"/>
    <numFmt numFmtId="176" formatCode="_-* #,##0.00\ [$€-42D]_-;\-* #,##0.00\ [$€-42D]_-;_-* &quot;-&quot;??\ [$€-42D]_-;_-@_-"/>
    <numFmt numFmtId="177" formatCode="_-* #,##0.0\ [$€-42D]_-;\-* #,##0.0\ [$€-42D]_-;_-* &quot;-&quot;??\ [$€-42D]_-;_-@_-"/>
    <numFmt numFmtId="178" formatCode="_-* #,##0\ [$€-42D]_-;\-* #,##0\ [$€-42D]_-;_-* &quot;-&quot;??\ [$€-42D]_-;_-@_-"/>
    <numFmt numFmtId="179" formatCode="#,##0&quot; €&quot;"/>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0000%"/>
    <numFmt numFmtId="190" formatCode="0.0000000000000%"/>
    <numFmt numFmtId="191" formatCode="_-* #,##0.000\ [$€]_-;\-* #,##0.000\ [$€]_-;_-* \-??\ [$€]_-;_-@_-"/>
    <numFmt numFmtId="192" formatCode="_-* #,##0.0000\ [$€]_-;\-* #,##0.0000\ [$€]_-;_-* \-??\ [$€]_-;_-@_-"/>
    <numFmt numFmtId="193" formatCode="_-* #,##0.00000\ [$€]_-;\-* #,##0.00000\ [$€]_-;_-* \-??\ [$€]_-;_-@_-"/>
    <numFmt numFmtId="194" formatCode="_-* #,##0.000000\ [$€]_-;\-* #,##0.000000\ [$€]_-;_-* \-??\ [$€]_-;_-@_-"/>
    <numFmt numFmtId="195" formatCode="_-* #,##0.0000000\ [$€]_-;\-* #,##0.0000000\ [$€]_-;_-* \-??\ [$€]_-;_-@_-"/>
    <numFmt numFmtId="196" formatCode="0.0000"/>
    <numFmt numFmtId="197" formatCode="0.000"/>
    <numFmt numFmtId="198" formatCode="0.0"/>
    <numFmt numFmtId="199" formatCode="_-* #,##0.00000000\ [$€]_-;\-* #,##0.00000000\ [$€]_-;_-* \-??\ [$€]_-;_-@_-"/>
    <numFmt numFmtId="200" formatCode="_-* #,##0.000000000\ [$€]_-;\-* #,##0.000000000\ [$€]_-;_-* \-??\ [$€]_-;_-@_-"/>
    <numFmt numFmtId="201" formatCode="_-* #,##0.0000000000\ [$€]_-;\-* #,##0.0000000000\ [$€]_-;_-* \-??\ [$€]_-;_-@_-"/>
    <numFmt numFmtId="202" formatCode="_-* #,##0.0\ &quot;€&quot;_-;\-* #,##0.0\ &quot;€&quot;_-;_-* &quot;-&quot;??\ &quot;€&quot;_-;_-@_-"/>
    <numFmt numFmtId="203" formatCode="_-* #,##0\ &quot;€&quot;_-;\-* #,##0\ &quot;€&quot;_-;_-* &quot;-&quot;??\ &quot;€&quot;_-;_-@_-"/>
    <numFmt numFmtId="204" formatCode="_-* #,##0.000\ &quot;€&quot;_-;\-* #,##0.000\ &quot;€&quot;_-;_-* &quot;-&quot;??\ &quot;€&quot;_-;_-@_-"/>
  </numFmts>
  <fonts count="9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sz val="8"/>
      <color indexed="9"/>
      <name val="Times New Roman"/>
      <family val="1"/>
    </font>
    <font>
      <sz val="28"/>
      <color indexed="9"/>
      <name val="Arial"/>
      <family val="2"/>
    </font>
    <font>
      <sz val="10"/>
      <color indexed="9"/>
      <name val="Arial"/>
      <family val="2"/>
    </font>
    <font>
      <b/>
      <sz val="10"/>
      <name val="Arial"/>
      <family val="2"/>
    </font>
    <font>
      <i/>
      <sz val="10"/>
      <name val="Arial"/>
      <family val="2"/>
    </font>
    <font>
      <sz val="10"/>
      <color indexed="10"/>
      <name val="Arial"/>
      <family val="2"/>
    </font>
    <font>
      <b/>
      <sz val="8"/>
      <color indexed="8"/>
      <name val="Tahoma"/>
      <family val="2"/>
    </font>
    <font>
      <sz val="8"/>
      <color indexed="8"/>
      <name val="Tahoma"/>
      <family val="2"/>
    </font>
    <font>
      <sz val="10"/>
      <color indexed="25"/>
      <name val="Arial"/>
      <family val="2"/>
    </font>
    <font>
      <b/>
      <sz val="12"/>
      <color indexed="8"/>
      <name val="Tahoma"/>
      <family val="2"/>
    </font>
    <font>
      <sz val="12"/>
      <color indexed="8"/>
      <name val="Tahoma"/>
      <family val="2"/>
    </font>
    <font>
      <sz val="10"/>
      <color indexed="12"/>
      <name val="Arial"/>
      <family val="2"/>
    </font>
    <font>
      <b/>
      <sz val="9"/>
      <color indexed="8"/>
      <name val="Tahoma"/>
      <family val="2"/>
    </font>
    <font>
      <u val="single"/>
      <sz val="10"/>
      <color indexed="12"/>
      <name val="Arial"/>
      <family val="2"/>
    </font>
    <font>
      <sz val="14"/>
      <name val="Arial"/>
      <family val="2"/>
    </font>
    <font>
      <b/>
      <sz val="14"/>
      <name val="Arial"/>
      <family val="2"/>
    </font>
    <font>
      <sz val="9"/>
      <name val="Arial Narrow"/>
      <family val="2"/>
    </font>
    <font>
      <sz val="10"/>
      <name val="Arial Narrow"/>
      <family val="2"/>
    </font>
    <font>
      <sz val="8"/>
      <name val="Arial"/>
      <family val="2"/>
    </font>
    <font>
      <sz val="8"/>
      <name val="Arial Narrow"/>
      <family val="2"/>
    </font>
    <font>
      <sz val="10"/>
      <color indexed="10"/>
      <name val="Arial Narrow"/>
      <family val="2"/>
    </font>
    <font>
      <sz val="10"/>
      <color indexed="23"/>
      <name val="Arial Narrow"/>
      <family val="2"/>
    </font>
    <font>
      <sz val="10"/>
      <color indexed="23"/>
      <name val="Arial"/>
      <family val="2"/>
    </font>
    <font>
      <sz val="11"/>
      <name val="Arial"/>
      <family val="2"/>
    </font>
    <font>
      <sz val="12"/>
      <name val="Arial"/>
      <family val="2"/>
    </font>
    <font>
      <u val="single"/>
      <sz val="7.5"/>
      <color indexed="36"/>
      <name val="Arial"/>
      <family val="2"/>
    </font>
    <font>
      <sz val="8"/>
      <name val="Times New Roman"/>
      <family val="1"/>
    </font>
    <font>
      <sz val="8"/>
      <color indexed="10"/>
      <name val="Arial"/>
      <family val="2"/>
    </font>
    <font>
      <sz val="9"/>
      <name val="Times New Roman"/>
      <family val="1"/>
    </font>
    <font>
      <sz val="8"/>
      <color indexed="10"/>
      <name val="Arial Narrow"/>
      <family val="2"/>
    </font>
    <font>
      <i/>
      <sz val="10"/>
      <color indexed="20"/>
      <name val="Arial"/>
      <family val="2"/>
    </font>
    <font>
      <i/>
      <sz val="10"/>
      <color indexed="20"/>
      <name val="Arial Narrow"/>
      <family val="2"/>
    </font>
    <font>
      <i/>
      <sz val="10"/>
      <color indexed="17"/>
      <name val="Arial Narrow"/>
      <family val="2"/>
    </font>
    <font>
      <i/>
      <sz val="10"/>
      <color indexed="9"/>
      <name val="Arial Narrow"/>
      <family val="2"/>
    </font>
    <font>
      <sz val="10"/>
      <color indexed="17"/>
      <name val="Times New Roman"/>
      <family val="1"/>
    </font>
    <font>
      <i/>
      <sz val="8"/>
      <color indexed="17"/>
      <name val="Arial Narrow"/>
      <family val="2"/>
    </font>
    <font>
      <sz val="9"/>
      <color indexed="17"/>
      <name val="Arial"/>
      <family val="0"/>
    </font>
    <font>
      <sz val="10"/>
      <color indexed="17"/>
      <name val="Arial Narrow"/>
      <family val="2"/>
    </font>
    <font>
      <sz val="10"/>
      <color indexed="17"/>
      <name val="Arial"/>
      <family val="2"/>
    </font>
    <font>
      <b/>
      <sz val="11"/>
      <color indexed="12"/>
      <name val="Arial Narrow"/>
      <family val="2"/>
    </font>
    <font>
      <sz val="10"/>
      <color indexed="53"/>
      <name val="Arial"/>
      <family val="2"/>
    </font>
    <font>
      <i/>
      <sz val="10"/>
      <color indexed="53"/>
      <name val="Arial"/>
      <family val="2"/>
    </font>
    <font>
      <i/>
      <sz val="9"/>
      <name val="Arial Narrow"/>
      <family val="2"/>
    </font>
    <font>
      <sz val="12"/>
      <color indexed="9"/>
      <name val="Arial"/>
      <family val="2"/>
    </font>
    <font>
      <sz val="8"/>
      <color indexed="12"/>
      <name val="Arial Narrow"/>
      <family val="2"/>
    </font>
    <font>
      <b/>
      <sz val="14"/>
      <color indexed="9"/>
      <name val="Arial"/>
      <family val="2"/>
    </font>
    <font>
      <sz val="10"/>
      <color indexed="14"/>
      <name val="Arial"/>
      <family val="2"/>
    </font>
    <font>
      <sz val="12"/>
      <name val="Times New Roman"/>
      <family val="1"/>
    </font>
    <font>
      <sz val="9"/>
      <color indexed="10"/>
      <name val="Arial Narrow"/>
      <family val="2"/>
    </font>
    <font>
      <sz val="14"/>
      <color indexed="9"/>
      <name val="Arial Narrow"/>
      <family val="2"/>
    </font>
    <font>
      <i/>
      <sz val="9"/>
      <name val="Arial"/>
      <family val="2"/>
    </font>
    <font>
      <b/>
      <sz val="11"/>
      <name val="Arial"/>
      <family val="2"/>
    </font>
    <font>
      <sz val="9"/>
      <color indexed="10"/>
      <name val="Arial"/>
      <family val="0"/>
    </font>
    <font>
      <b/>
      <sz val="12"/>
      <name val="Arial"/>
      <family val="2"/>
    </font>
    <font>
      <sz val="11"/>
      <name val="Arial Narrow"/>
      <family val="2"/>
    </font>
    <font>
      <sz val="10"/>
      <color indexed="20"/>
      <name val="Arial"/>
      <family val="2"/>
    </font>
    <font>
      <i/>
      <sz val="10"/>
      <color indexed="12"/>
      <name val="Arial"/>
      <family val="2"/>
    </font>
    <font>
      <sz val="14"/>
      <color indexed="9"/>
      <name val="Arial"/>
      <family val="2"/>
    </font>
    <font>
      <sz val="12"/>
      <name val="Arial Narrow"/>
      <family val="2"/>
    </font>
    <font>
      <sz val="14"/>
      <color indexed="10"/>
      <name val="Arial"/>
      <family val="2"/>
    </font>
    <font>
      <sz val="9"/>
      <name val="Arial"/>
      <family val="2"/>
    </font>
    <font>
      <sz val="10"/>
      <color indexed="18"/>
      <name val="Arial"/>
      <family val="2"/>
    </font>
    <font>
      <sz val="7"/>
      <name val="Arial Narrow"/>
      <family val="2"/>
    </font>
    <font>
      <b/>
      <sz val="8"/>
      <name val="Arial Narrow"/>
      <family val="2"/>
    </font>
    <font>
      <b/>
      <sz val="10"/>
      <color indexed="18"/>
      <name val="Arial"/>
      <family val="2"/>
    </font>
    <font>
      <b/>
      <sz val="10"/>
      <color indexed="53"/>
      <name val="Arial"/>
      <family val="2"/>
    </font>
    <font>
      <sz val="8"/>
      <color indexed="55"/>
      <name val="Arial"/>
      <family val="0"/>
    </font>
    <font>
      <sz val="9"/>
      <color indexed="17"/>
      <name val="Arial Narrow"/>
      <family val="2"/>
    </font>
    <font>
      <i/>
      <sz val="10"/>
      <color indexed="10"/>
      <name val="Arial Narrow"/>
      <family val="2"/>
    </font>
    <font>
      <sz val="8"/>
      <color indexed="17"/>
      <name val="Arial Narrow"/>
      <family val="2"/>
    </font>
    <font>
      <sz val="9"/>
      <color indexed="12"/>
      <name val="Arial"/>
      <family val="2"/>
    </font>
    <font>
      <i/>
      <sz val="9"/>
      <color indexed="12"/>
      <name val="Arial"/>
      <family val="2"/>
    </font>
    <font>
      <b/>
      <sz val="10"/>
      <color indexed="9"/>
      <name val="Arial Narrow"/>
      <family val="2"/>
    </font>
    <font>
      <b/>
      <sz val="10"/>
      <color indexed="9"/>
      <name val="Arial"/>
      <family val="2"/>
    </font>
    <font>
      <b/>
      <i/>
      <sz val="10"/>
      <color indexed="20"/>
      <name val="Arial"/>
      <family val="2"/>
    </font>
    <font>
      <b/>
      <sz val="11"/>
      <color indexed="12"/>
      <name val="Arial"/>
      <family val="2"/>
    </font>
    <font>
      <i/>
      <sz val="10"/>
      <color indexed="55"/>
      <name val="Arial"/>
      <family val="2"/>
    </font>
    <font>
      <i/>
      <sz val="8"/>
      <color indexed="55"/>
      <name val="Arial Narrow"/>
      <family val="2"/>
    </font>
    <font>
      <b/>
      <sz val="8"/>
      <name val="Arial"/>
      <family val="2"/>
    </font>
  </fonts>
  <fills count="45">
    <fill>
      <patternFill/>
    </fill>
    <fill>
      <patternFill patternType="gray125"/>
    </fill>
    <fill>
      <patternFill patternType="solid">
        <fgColor indexed="4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9"/>
        <bgColor indexed="64"/>
      </patternFill>
    </fill>
    <fill>
      <patternFill patternType="solid">
        <fgColor indexed="15"/>
        <bgColor indexed="64"/>
      </patternFill>
    </fill>
    <fill>
      <patternFill patternType="solid">
        <fgColor indexed="17"/>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46"/>
        <bgColor indexed="64"/>
      </patternFill>
    </fill>
    <fill>
      <patternFill patternType="solid">
        <fgColor indexed="46"/>
        <bgColor indexed="64"/>
      </patternFill>
    </fill>
    <fill>
      <patternFill patternType="solid">
        <fgColor indexed="12"/>
        <bgColor indexed="64"/>
      </patternFill>
    </fill>
    <fill>
      <patternFill patternType="solid">
        <fgColor indexed="8"/>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63"/>
        <bgColor indexed="64"/>
      </patternFill>
    </fill>
    <fill>
      <patternFill patternType="solid">
        <fgColor indexed="14"/>
        <bgColor indexed="64"/>
      </patternFill>
    </fill>
    <fill>
      <patternFill patternType="solid">
        <fgColor indexed="14"/>
        <bgColor indexed="64"/>
      </patternFill>
    </fill>
    <fill>
      <patternFill patternType="solid">
        <fgColor indexed="15"/>
        <bgColor indexed="64"/>
      </patternFill>
    </fill>
    <fill>
      <patternFill patternType="solid">
        <fgColor indexed="56"/>
        <bgColor indexed="64"/>
      </patternFill>
    </fill>
    <fill>
      <patternFill patternType="solid">
        <fgColor indexed="58"/>
        <bgColor indexed="64"/>
      </patternFill>
    </fill>
    <fill>
      <patternFill patternType="solid">
        <fgColor indexed="52"/>
        <bgColor indexed="64"/>
      </patternFill>
    </fill>
    <fill>
      <patternFill patternType="solid">
        <fgColor indexed="52"/>
        <bgColor indexed="64"/>
      </patternFill>
    </fill>
    <fill>
      <patternFill patternType="solid">
        <fgColor indexed="5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medium">
        <color indexed="8"/>
      </left>
      <right style="medium">
        <color indexed="8"/>
      </right>
      <top style="medium"/>
      <bottom style="medium"/>
    </border>
    <border>
      <left style="thin"/>
      <right style="thin"/>
      <top style="thin"/>
      <bottom style="thin"/>
    </border>
    <border>
      <left style="thin"/>
      <right style="thin"/>
      <top>
        <color indexed="63"/>
      </top>
      <bottom style="thin"/>
    </border>
    <border>
      <left style="hair">
        <color indexed="8"/>
      </left>
      <right style="hair">
        <color indexed="8"/>
      </right>
      <top style="medium"/>
      <bottom style="medium"/>
    </border>
    <border>
      <left style="hair">
        <color indexed="8"/>
      </left>
      <right style="hair">
        <color indexed="8"/>
      </right>
      <top>
        <color indexed="63"/>
      </top>
      <bottom style="hair">
        <color indexed="8"/>
      </bottom>
    </border>
    <border>
      <left style="medium"/>
      <right style="hair">
        <color indexed="8"/>
      </right>
      <top style="medium"/>
      <bottom style="medium"/>
    </border>
    <border>
      <left style="thin"/>
      <right style="thin"/>
      <top style="thin"/>
      <bottom>
        <color indexed="63"/>
      </bottom>
    </border>
    <border>
      <left style="medium">
        <color indexed="8"/>
      </left>
      <right style="medium">
        <color indexed="8"/>
      </right>
      <top style="medium">
        <color indexed="8"/>
      </top>
      <bottom style="medium">
        <color indexed="8"/>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medium"/>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style="medium"/>
      <top>
        <color indexed="63"/>
      </top>
      <bottom style="thin"/>
    </border>
    <border>
      <left style="medium"/>
      <right style="medium">
        <color indexed="8"/>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medium">
        <color indexed="8"/>
      </left>
      <right>
        <color indexed="63"/>
      </right>
      <top style="medium"/>
      <bottom style="medium"/>
    </border>
    <border>
      <left style="medium">
        <color indexed="8"/>
      </left>
      <right style="medium"/>
      <top style="medium"/>
      <bottom style="medium"/>
    </border>
    <border>
      <left>
        <color indexed="63"/>
      </left>
      <right style="medium">
        <color indexed="8"/>
      </right>
      <top style="medium"/>
      <bottom style="medium"/>
    </border>
    <border>
      <left>
        <color indexed="63"/>
      </left>
      <right>
        <color indexed="63"/>
      </right>
      <top style="hair">
        <color indexed="8"/>
      </top>
      <bottom>
        <color indexed="63"/>
      </bottom>
    </border>
    <border>
      <left style="hair">
        <color indexed="8"/>
      </left>
      <right style="medium"/>
      <top style="medium"/>
      <bottom style="medium"/>
    </border>
    <border>
      <left style="thin"/>
      <right style="thin"/>
      <top style="medium"/>
      <bottom style="thin"/>
    </border>
    <border>
      <left style="thin"/>
      <right style="thin"/>
      <top>
        <color indexed="63"/>
      </top>
      <bottom>
        <color indexed="63"/>
      </bottom>
    </border>
    <border>
      <left>
        <color indexed="63"/>
      </left>
      <right style="thin"/>
      <top style="medium"/>
      <bottom style="medium"/>
    </border>
    <border>
      <left style="thin"/>
      <right>
        <color indexed="63"/>
      </right>
      <top style="thin"/>
      <bottom>
        <color indexed="63"/>
      </bottom>
    </border>
    <border>
      <left style="hair">
        <color indexed="8"/>
      </left>
      <right style="hair">
        <color indexed="8"/>
      </right>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style="medium"/>
      <top style="thin"/>
      <bottom style="medium"/>
    </border>
    <border>
      <left style="hair">
        <color indexed="8"/>
      </left>
      <right style="hair">
        <color indexed="8"/>
      </right>
      <top style="thin"/>
      <bottom>
        <color indexed="63"/>
      </bottom>
    </border>
    <border>
      <left style="hair">
        <color indexed="8"/>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6" fillId="11" borderId="1" applyNumberFormat="0" applyAlignment="0" applyProtection="0"/>
    <xf numFmtId="0" fontId="4" fillId="12"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8" fillId="7" borderId="1" applyNumberFormat="0" applyAlignment="0" applyProtection="0"/>
    <xf numFmtId="164" fontId="0" fillId="0" borderId="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9"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7" borderId="0" applyNumberFormat="0" applyBorder="0" applyAlignment="0" applyProtection="0"/>
    <xf numFmtId="0" fontId="36" fillId="0" borderId="0">
      <alignment horizontal="left" vertical="top" wrapText="1" shrinkToFit="1" readingOrder="1"/>
      <protection/>
    </xf>
    <xf numFmtId="0" fontId="0" fillId="0" borderId="0">
      <alignment/>
      <protection/>
    </xf>
    <xf numFmtId="0" fontId="0" fillId="4" borderId="4" applyNumberFormat="0" applyAlignment="0" applyProtection="0"/>
    <xf numFmtId="9" fontId="0" fillId="0" borderId="0" applyFill="0" applyBorder="0" applyAlignment="0" applyProtection="0"/>
    <xf numFmtId="9" fontId="0" fillId="0" borderId="0" applyFont="0" applyFill="0" applyBorder="0" applyAlignment="0" applyProtection="0"/>
    <xf numFmtId="0" fontId="11" fillId="11"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581">
    <xf numFmtId="0" fontId="0" fillId="0" borderId="0" xfId="0" applyAlignment="1">
      <alignment/>
    </xf>
    <xf numFmtId="0" fontId="18" fillId="0" borderId="0" xfId="0" applyFont="1" applyAlignment="1">
      <alignment/>
    </xf>
    <xf numFmtId="0" fontId="0" fillId="0" borderId="0" xfId="0" applyFill="1" applyAlignment="1">
      <alignment/>
    </xf>
    <xf numFmtId="3" fontId="0" fillId="0" borderId="0" xfId="0" applyNumberFormat="1" applyFont="1" applyFill="1" applyBorder="1" applyAlignment="1">
      <alignment horizontal="center" wrapText="1"/>
    </xf>
    <xf numFmtId="165" fontId="0" fillId="0" borderId="10" xfId="0" applyNumberFormat="1" applyBorder="1" applyAlignment="1">
      <alignment horizontal="center"/>
    </xf>
    <xf numFmtId="10" fontId="0" fillId="0" borderId="0" xfId="0" applyNumberFormat="1" applyFont="1" applyFill="1" applyBorder="1" applyAlignment="1">
      <alignment horizontal="center" wrapText="1"/>
    </xf>
    <xf numFmtId="3" fontId="0" fillId="11" borderId="10" xfId="0" applyNumberFormat="1" applyFont="1" applyFill="1" applyBorder="1" applyAlignment="1">
      <alignment horizontal="left" wrapText="1"/>
    </xf>
    <xf numFmtId="0" fontId="0" fillId="0" borderId="10" xfId="0" applyBorder="1" applyAlignment="1">
      <alignment horizontal="left"/>
    </xf>
    <xf numFmtId="165" fontId="0" fillId="0" borderId="0" xfId="0" applyNumberFormat="1" applyFill="1" applyBorder="1" applyAlignment="1">
      <alignment horizontal="center"/>
    </xf>
    <xf numFmtId="0" fontId="0" fillId="18" borderId="0" xfId="0" applyFill="1" applyAlignment="1">
      <alignment/>
    </xf>
    <xf numFmtId="3" fontId="0" fillId="11" borderId="0" xfId="0" applyNumberFormat="1" applyFont="1" applyFill="1" applyBorder="1" applyAlignment="1">
      <alignment horizontal="center" wrapText="1"/>
    </xf>
    <xf numFmtId="10" fontId="0" fillId="11" borderId="0" xfId="0" applyNumberFormat="1" applyFont="1" applyFill="1" applyBorder="1" applyAlignment="1">
      <alignment horizontal="center" wrapText="1"/>
    </xf>
    <xf numFmtId="165" fontId="21" fillId="19" borderId="10" xfId="0" applyNumberFormat="1" applyFont="1" applyFill="1" applyBorder="1" applyAlignment="1">
      <alignment horizontal="center"/>
    </xf>
    <xf numFmtId="10" fontId="21" fillId="0" borderId="0" xfId="0" applyNumberFormat="1" applyFont="1" applyFill="1" applyBorder="1" applyAlignment="1">
      <alignment horizontal="center" wrapText="1"/>
    </xf>
    <xf numFmtId="0" fontId="0" fillId="0" borderId="0" xfId="0" applyFill="1" applyBorder="1" applyAlignment="1">
      <alignment/>
    </xf>
    <xf numFmtId="0" fontId="36" fillId="0" borderId="0" xfId="0" applyFont="1" applyAlignment="1">
      <alignment/>
    </xf>
    <xf numFmtId="9" fontId="0" fillId="0" borderId="0" xfId="0" applyNumberFormat="1" applyAlignment="1">
      <alignment/>
    </xf>
    <xf numFmtId="3" fontId="21" fillId="11" borderId="11" xfId="0" applyNumberFormat="1" applyFont="1" applyFill="1" applyBorder="1" applyAlignment="1">
      <alignment horizontal="center" wrapText="1"/>
    </xf>
    <xf numFmtId="165" fontId="21" fillId="0" borderId="11" xfId="0" applyNumberFormat="1" applyFont="1" applyBorder="1" applyAlignment="1">
      <alignment horizontal="center"/>
    </xf>
    <xf numFmtId="10" fontId="0" fillId="11" borderId="12" xfId="0" applyNumberFormat="1" applyFont="1" applyFill="1" applyBorder="1" applyAlignment="1">
      <alignment horizontal="center" wrapText="1"/>
    </xf>
    <xf numFmtId="3" fontId="0" fillId="11" borderId="12" xfId="0" applyNumberFormat="1" applyFont="1" applyFill="1" applyBorder="1" applyAlignment="1">
      <alignment horizontal="center" wrapText="1"/>
    </xf>
    <xf numFmtId="165" fontId="0" fillId="0" borderId="12" xfId="0" applyNumberFormat="1" applyBorder="1" applyAlignment="1">
      <alignment horizontal="center"/>
    </xf>
    <xf numFmtId="0" fontId="0" fillId="0" borderId="12" xfId="0" applyBorder="1" applyAlignment="1">
      <alignment/>
    </xf>
    <xf numFmtId="3" fontId="0" fillId="11" borderId="13" xfId="0" applyNumberFormat="1" applyFont="1" applyFill="1" applyBorder="1" applyAlignment="1">
      <alignment horizontal="center" wrapText="1"/>
    </xf>
    <xf numFmtId="165" fontId="0" fillId="0" borderId="13" xfId="0" applyNumberFormat="1" applyBorder="1" applyAlignment="1">
      <alignment horizontal="center"/>
    </xf>
    <xf numFmtId="0" fontId="0" fillId="0" borderId="13" xfId="0" applyBorder="1" applyAlignment="1">
      <alignment/>
    </xf>
    <xf numFmtId="165" fontId="0" fillId="0" borderId="0" xfId="0" applyNumberFormat="1" applyBorder="1" applyAlignment="1">
      <alignment horizontal="center"/>
    </xf>
    <xf numFmtId="3" fontId="0" fillId="0" borderId="0" xfId="0" applyNumberFormat="1" applyFont="1" applyFill="1" applyBorder="1" applyAlignment="1">
      <alignment horizontal="center" wrapText="1"/>
    </xf>
    <xf numFmtId="3" fontId="21" fillId="11" borderId="14" xfId="0" applyNumberFormat="1" applyFont="1" applyFill="1" applyBorder="1" applyAlignment="1">
      <alignment horizontal="center" wrapText="1"/>
    </xf>
    <xf numFmtId="165" fontId="21" fillId="0" borderId="14" xfId="0" applyNumberFormat="1" applyFont="1" applyBorder="1" applyAlignment="1">
      <alignment horizontal="center"/>
    </xf>
    <xf numFmtId="3" fontId="0" fillId="11" borderId="15" xfId="0" applyNumberFormat="1" applyFont="1" applyFill="1" applyBorder="1" applyAlignment="1">
      <alignment horizontal="left" wrapText="1"/>
    </xf>
    <xf numFmtId="3" fontId="21" fillId="11" borderId="16" xfId="0" applyNumberFormat="1" applyFont="1" applyFill="1" applyBorder="1" applyAlignment="1">
      <alignment horizontal="center" wrapText="1"/>
    </xf>
    <xf numFmtId="3" fontId="0" fillId="11" borderId="12" xfId="0" applyNumberFormat="1" applyFont="1" applyFill="1" applyBorder="1" applyAlignment="1">
      <alignment horizontal="left" wrapText="1"/>
    </xf>
    <xf numFmtId="3" fontId="0" fillId="11" borderId="13" xfId="0" applyNumberFormat="1" applyFont="1" applyFill="1" applyBorder="1" applyAlignment="1">
      <alignment horizontal="left" wrapText="1"/>
    </xf>
    <xf numFmtId="10" fontId="26" fillId="11" borderId="12" xfId="0" applyNumberFormat="1" applyFont="1" applyFill="1" applyBorder="1" applyAlignment="1">
      <alignment horizontal="center" wrapText="1"/>
    </xf>
    <xf numFmtId="0" fontId="0" fillId="0" borderId="17" xfId="0" applyBorder="1" applyAlignment="1">
      <alignment/>
    </xf>
    <xf numFmtId="0" fontId="0" fillId="0" borderId="15" xfId="0" applyBorder="1" applyAlignment="1">
      <alignment horizontal="left"/>
    </xf>
    <xf numFmtId="3" fontId="0" fillId="0" borderId="12" xfId="0" applyNumberFormat="1" applyFont="1" applyFill="1" applyBorder="1" applyAlignment="1">
      <alignment horizontal="center" wrapText="1"/>
    </xf>
    <xf numFmtId="3" fontId="0" fillId="0" borderId="18" xfId="0" applyNumberFormat="1" applyFont="1" applyBorder="1" applyAlignment="1">
      <alignment horizontal="center"/>
    </xf>
    <xf numFmtId="3" fontId="0" fillId="0" borderId="0" xfId="0" applyNumberFormat="1" applyFont="1" applyFill="1" applyBorder="1" applyAlignment="1">
      <alignment horizontal="center"/>
    </xf>
    <xf numFmtId="3" fontId="0" fillId="0" borderId="10" xfId="0" applyNumberFormat="1" applyFont="1" applyBorder="1" applyAlignment="1">
      <alignment horizontal="center"/>
    </xf>
    <xf numFmtId="3" fontId="0" fillId="0" borderId="12" xfId="0" applyNumberFormat="1" applyFont="1" applyBorder="1" applyAlignment="1">
      <alignment horizontal="center"/>
    </xf>
    <xf numFmtId="3" fontId="21" fillId="19" borderId="10" xfId="0" applyNumberFormat="1" applyFont="1" applyFill="1" applyBorder="1" applyAlignment="1">
      <alignment horizontal="center"/>
    </xf>
    <xf numFmtId="3" fontId="21" fillId="0" borderId="0" xfId="0" applyNumberFormat="1" applyFont="1" applyFill="1" applyBorder="1" applyAlignment="1">
      <alignment horizontal="center"/>
    </xf>
    <xf numFmtId="0" fontId="0" fillId="20" borderId="0" xfId="0" applyFill="1" applyAlignment="1">
      <alignment/>
    </xf>
    <xf numFmtId="0" fontId="20" fillId="20" borderId="0" xfId="0" applyFont="1" applyFill="1" applyAlignment="1">
      <alignment/>
    </xf>
    <xf numFmtId="0" fontId="29" fillId="0" borderId="0" xfId="0" applyFont="1" applyAlignment="1">
      <alignment/>
    </xf>
    <xf numFmtId="0" fontId="0" fillId="0" borderId="0" xfId="0" applyAlignment="1">
      <alignment horizontal="center"/>
    </xf>
    <xf numFmtId="0" fontId="0" fillId="21" borderId="0" xfId="0" applyFill="1" applyAlignment="1">
      <alignment/>
    </xf>
    <xf numFmtId="0" fontId="35" fillId="0" borderId="12" xfId="0" applyFont="1" applyBorder="1" applyAlignment="1">
      <alignment/>
    </xf>
    <xf numFmtId="0" fontId="21" fillId="22" borderId="0" xfId="0" applyFont="1" applyFill="1" applyAlignment="1">
      <alignment/>
    </xf>
    <xf numFmtId="0" fontId="0" fillId="22" borderId="0" xfId="0" applyFill="1" applyAlignment="1">
      <alignment/>
    </xf>
    <xf numFmtId="0" fontId="35" fillId="0" borderId="0" xfId="0" applyFont="1" applyBorder="1" applyAlignment="1">
      <alignment/>
    </xf>
    <xf numFmtId="0" fontId="0" fillId="0" borderId="0" xfId="0" applyBorder="1" applyAlignment="1">
      <alignment/>
    </xf>
    <xf numFmtId="0" fontId="39" fillId="0" borderId="12" xfId="0" applyFont="1" applyBorder="1" applyAlignment="1">
      <alignment/>
    </xf>
    <xf numFmtId="0" fontId="40" fillId="0" borderId="19" xfId="0" applyFont="1" applyBorder="1" applyAlignment="1">
      <alignment horizontal="center"/>
    </xf>
    <xf numFmtId="0" fontId="40" fillId="0" borderId="0" xfId="0" applyFont="1" applyBorder="1" applyAlignment="1">
      <alignment horizontal="center"/>
    </xf>
    <xf numFmtId="0" fontId="37" fillId="0" borderId="12" xfId="0" applyFont="1" applyBorder="1" applyAlignment="1">
      <alignment/>
    </xf>
    <xf numFmtId="9" fontId="0" fillId="0" borderId="12" xfId="0" applyNumberFormat="1" applyBorder="1" applyAlignment="1">
      <alignment horizontal="center"/>
    </xf>
    <xf numFmtId="0" fontId="0" fillId="0" borderId="12" xfId="0" applyBorder="1" applyAlignment="1">
      <alignment horizontal="right"/>
    </xf>
    <xf numFmtId="0" fontId="0" fillId="0" borderId="0" xfId="0" applyFont="1" applyBorder="1" applyAlignment="1">
      <alignment horizontal="center" wrapText="1"/>
    </xf>
    <xf numFmtId="0" fontId="0" fillId="23" borderId="12" xfId="0" applyFill="1" applyBorder="1" applyAlignment="1">
      <alignment/>
    </xf>
    <xf numFmtId="0" fontId="0" fillId="23" borderId="0" xfId="0" applyFill="1" applyAlignment="1">
      <alignment/>
    </xf>
    <xf numFmtId="6" fontId="29" fillId="0" borderId="12" xfId="0" applyNumberFormat="1" applyFont="1" applyBorder="1" applyAlignment="1">
      <alignment/>
    </xf>
    <xf numFmtId="8" fontId="44" fillId="0" borderId="12" xfId="0" applyNumberFormat="1" applyFont="1" applyBorder="1" applyAlignment="1">
      <alignment/>
    </xf>
    <xf numFmtId="0" fontId="0" fillId="0" borderId="0" xfId="0" applyAlignment="1">
      <alignment horizontal="right"/>
    </xf>
    <xf numFmtId="0" fontId="29" fillId="0" borderId="0" xfId="0" applyFont="1" applyAlignment="1">
      <alignment horizontal="right"/>
    </xf>
    <xf numFmtId="8" fontId="35" fillId="0" borderId="12" xfId="0" applyNumberFormat="1" applyFont="1" applyBorder="1" applyAlignment="1">
      <alignment/>
    </xf>
    <xf numFmtId="8" fontId="35" fillId="0" borderId="0" xfId="0" applyNumberFormat="1" applyFont="1" applyAlignment="1">
      <alignment horizontal="center"/>
    </xf>
    <xf numFmtId="6" fontId="34" fillId="0" borderId="12" xfId="0" applyNumberFormat="1" applyFont="1" applyFill="1" applyBorder="1" applyAlignment="1">
      <alignment/>
    </xf>
    <xf numFmtId="6" fontId="44" fillId="0" borderId="12" xfId="0" applyNumberFormat="1" applyFont="1" applyBorder="1" applyAlignment="1">
      <alignment/>
    </xf>
    <xf numFmtId="10" fontId="38" fillId="0" borderId="0" xfId="58" applyNumberFormat="1" applyFont="1" applyAlignment="1">
      <alignment/>
    </xf>
    <xf numFmtId="0" fontId="37" fillId="0" borderId="19" xfId="0" applyFont="1" applyBorder="1" applyAlignment="1">
      <alignment/>
    </xf>
    <xf numFmtId="0" fontId="37" fillId="0" borderId="20" xfId="0" applyFont="1" applyBorder="1" applyAlignment="1">
      <alignment/>
    </xf>
    <xf numFmtId="9" fontId="45" fillId="0" borderId="12" xfId="0" applyNumberFormat="1" applyFont="1" applyBorder="1" applyAlignment="1">
      <alignment horizontal="center"/>
    </xf>
    <xf numFmtId="6" fontId="46" fillId="0" borderId="12" xfId="0" applyNumberFormat="1" applyFont="1" applyBorder="1" applyAlignment="1">
      <alignment/>
    </xf>
    <xf numFmtId="0" fontId="0" fillId="0" borderId="21" xfId="0" applyBorder="1" applyAlignment="1">
      <alignment/>
    </xf>
    <xf numFmtId="0" fontId="21" fillId="0" borderId="0" xfId="0" applyFont="1" applyAlignment="1">
      <alignment/>
    </xf>
    <xf numFmtId="0" fontId="21" fillId="0" borderId="0" xfId="0" applyFont="1" applyBorder="1" applyAlignment="1">
      <alignment/>
    </xf>
    <xf numFmtId="0" fontId="21" fillId="23" borderId="0" xfId="0" applyFont="1" applyFill="1" applyAlignment="1">
      <alignment/>
    </xf>
    <xf numFmtId="0" fontId="35" fillId="0" borderId="0" xfId="0" applyFont="1" applyAlignment="1">
      <alignment/>
    </xf>
    <xf numFmtId="0" fontId="34" fillId="0" borderId="0" xfId="0" applyFont="1" applyAlignment="1">
      <alignment horizontal="center"/>
    </xf>
    <xf numFmtId="10" fontId="47" fillId="0" borderId="0" xfId="58" applyNumberFormat="1" applyFont="1" applyAlignment="1">
      <alignment/>
    </xf>
    <xf numFmtId="0" fontId="48" fillId="22" borderId="0" xfId="0" applyFont="1" applyFill="1" applyAlignment="1">
      <alignment/>
    </xf>
    <xf numFmtId="0" fontId="48" fillId="0" borderId="0" xfId="0" applyFont="1" applyAlignment="1">
      <alignment/>
    </xf>
    <xf numFmtId="6" fontId="49" fillId="0" borderId="0" xfId="0" applyNumberFormat="1" applyFont="1" applyBorder="1" applyAlignment="1">
      <alignment/>
    </xf>
    <xf numFmtId="0" fontId="48" fillId="0" borderId="0" xfId="0" applyFont="1" applyBorder="1" applyAlignment="1">
      <alignment/>
    </xf>
    <xf numFmtId="0" fontId="48" fillId="23" borderId="0" xfId="0" applyFont="1" applyFill="1" applyAlignment="1">
      <alignment/>
    </xf>
    <xf numFmtId="0" fontId="49" fillId="0" borderId="0" xfId="0" applyFont="1" applyBorder="1" applyAlignment="1">
      <alignment horizontal="center"/>
    </xf>
    <xf numFmtId="6" fontId="50" fillId="0" borderId="0" xfId="0" applyNumberFormat="1" applyFont="1" applyBorder="1" applyAlignment="1">
      <alignment/>
    </xf>
    <xf numFmtId="6" fontId="34" fillId="0" borderId="0" xfId="0" applyNumberFormat="1" applyFont="1" applyFill="1" applyBorder="1" applyAlignment="1">
      <alignment/>
    </xf>
    <xf numFmtId="9" fontId="45" fillId="0" borderId="0" xfId="0" applyNumberFormat="1" applyFont="1" applyBorder="1" applyAlignment="1">
      <alignment horizontal="center"/>
    </xf>
    <xf numFmtId="6" fontId="29" fillId="0" borderId="0" xfId="0" applyNumberFormat="1" applyFont="1" applyBorder="1" applyAlignment="1">
      <alignment/>
    </xf>
    <xf numFmtId="0" fontId="49" fillId="0" borderId="0" xfId="0" applyNumberFormat="1" applyFont="1" applyBorder="1" applyAlignment="1">
      <alignment/>
    </xf>
    <xf numFmtId="0" fontId="0" fillId="0" borderId="19"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1"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0" fillId="23" borderId="19" xfId="0" applyFill="1" applyBorder="1" applyAlignment="1">
      <alignment/>
    </xf>
    <xf numFmtId="0" fontId="0" fillId="0" borderId="19" xfId="0" applyBorder="1" applyAlignment="1">
      <alignment horizontal="right"/>
    </xf>
    <xf numFmtId="0" fontId="21" fillId="0" borderId="28" xfId="0" applyFont="1" applyBorder="1" applyAlignment="1">
      <alignment horizontal="center"/>
    </xf>
    <xf numFmtId="0" fontId="21" fillId="0" borderId="29" xfId="0" applyFont="1" applyBorder="1" applyAlignment="1">
      <alignment/>
    </xf>
    <xf numFmtId="0" fontId="50" fillId="0" borderId="0" xfId="0" applyFont="1" applyAlignment="1">
      <alignment/>
    </xf>
    <xf numFmtId="0" fontId="37" fillId="0" borderId="30" xfId="0" applyFont="1" applyBorder="1" applyAlignment="1">
      <alignment/>
    </xf>
    <xf numFmtId="0" fontId="51" fillId="20" borderId="0" xfId="0" applyFont="1" applyFill="1" applyAlignment="1">
      <alignment horizontal="center"/>
    </xf>
    <xf numFmtId="3" fontId="0" fillId="0" borderId="0" xfId="50" applyNumberFormat="1" applyBorder="1" applyAlignment="1">
      <alignment horizontal="right"/>
    </xf>
    <xf numFmtId="0" fontId="35" fillId="0" borderId="0" xfId="0" applyFont="1" applyFill="1" applyBorder="1" applyAlignment="1">
      <alignment/>
    </xf>
    <xf numFmtId="0" fontId="37" fillId="23" borderId="12" xfId="0" applyFont="1" applyFill="1" applyBorder="1" applyAlignment="1">
      <alignment/>
    </xf>
    <xf numFmtId="0" fontId="0" fillId="23" borderId="0" xfId="0" applyFill="1" applyAlignment="1">
      <alignment horizontal="right"/>
    </xf>
    <xf numFmtId="0" fontId="37" fillId="23" borderId="19" xfId="0" applyFont="1" applyFill="1" applyBorder="1" applyAlignment="1">
      <alignment/>
    </xf>
    <xf numFmtId="10" fontId="34" fillId="0" borderId="0" xfId="58" applyNumberFormat="1" applyFont="1" applyAlignment="1">
      <alignment horizontal="left"/>
    </xf>
    <xf numFmtId="10" fontId="22" fillId="22" borderId="0" xfId="0" applyNumberFormat="1" applyFont="1" applyFill="1" applyAlignment="1">
      <alignment/>
    </xf>
    <xf numFmtId="4" fontId="52" fillId="0" borderId="0" xfId="0" applyNumberFormat="1" applyFont="1" applyAlignment="1">
      <alignment/>
    </xf>
    <xf numFmtId="0" fontId="53" fillId="0" borderId="0" xfId="0" applyFont="1" applyAlignment="1">
      <alignment/>
    </xf>
    <xf numFmtId="6" fontId="34" fillId="0" borderId="19" xfId="0" applyNumberFormat="1" applyFont="1" applyFill="1" applyBorder="1" applyAlignment="1">
      <alignment/>
    </xf>
    <xf numFmtId="6" fontId="34" fillId="0" borderId="12" xfId="0" applyNumberFormat="1" applyFont="1" applyFill="1" applyBorder="1" applyAlignment="1">
      <alignment horizontal="left"/>
    </xf>
    <xf numFmtId="0" fontId="0" fillId="24" borderId="12" xfId="0" applyFill="1" applyBorder="1" applyAlignment="1">
      <alignment/>
    </xf>
    <xf numFmtId="3" fontId="54" fillId="0" borderId="31" xfId="55" applyNumberFormat="1" applyFont="1" applyFill="1" applyBorder="1" applyAlignment="1">
      <alignment horizontal="right" vertical="top" readingOrder="1"/>
      <protection/>
    </xf>
    <xf numFmtId="3" fontId="36" fillId="24" borderId="20" xfId="55" applyNumberFormat="1" applyFont="1" applyFill="1" applyBorder="1" applyAlignment="1">
      <alignment horizontal="right" vertical="top" readingOrder="1"/>
      <protection/>
    </xf>
    <xf numFmtId="3" fontId="36" fillId="0" borderId="20" xfId="55" applyNumberFormat="1" applyFont="1" applyFill="1" applyBorder="1" applyAlignment="1">
      <alignment horizontal="right" vertical="top" readingOrder="1"/>
      <protection/>
    </xf>
    <xf numFmtId="3" fontId="36" fillId="0" borderId="23" xfId="55" applyNumberFormat="1" applyFont="1" applyFill="1" applyBorder="1" applyAlignment="1">
      <alignment horizontal="right" vertical="top" readingOrder="1"/>
      <protection/>
    </xf>
    <xf numFmtId="10" fontId="55" fillId="0" borderId="0" xfId="58" applyNumberFormat="1" applyFont="1" applyAlignment="1">
      <alignment/>
    </xf>
    <xf numFmtId="0" fontId="39" fillId="0" borderId="0" xfId="0" applyFont="1" applyBorder="1" applyAlignment="1">
      <alignment/>
    </xf>
    <xf numFmtId="0" fontId="56" fillId="0" borderId="0" xfId="0" applyFont="1" applyAlignment="1">
      <alignment/>
    </xf>
    <xf numFmtId="0" fontId="0" fillId="0" borderId="0" xfId="0" applyFont="1" applyFill="1" applyAlignment="1">
      <alignment/>
    </xf>
    <xf numFmtId="175" fontId="0" fillId="0" borderId="0" xfId="50" applyNumberFormat="1" applyAlignment="1">
      <alignment/>
    </xf>
    <xf numFmtId="6" fontId="0" fillId="0" borderId="0" xfId="0" applyNumberFormat="1" applyAlignment="1">
      <alignment/>
    </xf>
    <xf numFmtId="0" fontId="0" fillId="0" borderId="12" xfId="0" applyFont="1" applyFill="1" applyBorder="1" applyAlignment="1">
      <alignment horizontal="center"/>
    </xf>
    <xf numFmtId="0" fontId="35" fillId="0" borderId="21" xfId="0" applyFont="1" applyBorder="1" applyAlignment="1">
      <alignment/>
    </xf>
    <xf numFmtId="168" fontId="0" fillId="0" borderId="21" xfId="45" applyNumberFormat="1" applyBorder="1" applyAlignment="1">
      <alignment/>
    </xf>
    <xf numFmtId="6" fontId="0" fillId="0" borderId="21" xfId="0" applyNumberFormat="1" applyBorder="1" applyAlignment="1">
      <alignment/>
    </xf>
    <xf numFmtId="10" fontId="55" fillId="0" borderId="21" xfId="58" applyNumberFormat="1" applyFont="1" applyBorder="1" applyAlignment="1">
      <alignment/>
    </xf>
    <xf numFmtId="0" fontId="0" fillId="20" borderId="21" xfId="0" applyFont="1" applyFill="1" applyBorder="1" applyAlignment="1">
      <alignment/>
    </xf>
    <xf numFmtId="0" fontId="20" fillId="20" borderId="21" xfId="0" applyFont="1" applyFill="1" applyBorder="1" applyAlignment="1">
      <alignment/>
    </xf>
    <xf numFmtId="0" fontId="20" fillId="20" borderId="12" xfId="0" applyFont="1" applyFill="1" applyBorder="1" applyAlignment="1">
      <alignment horizontal="center"/>
    </xf>
    <xf numFmtId="6" fontId="0" fillId="0" borderId="31" xfId="0" applyNumberFormat="1" applyBorder="1" applyAlignment="1">
      <alignment/>
    </xf>
    <xf numFmtId="0" fontId="0" fillId="0" borderId="31" xfId="0" applyBorder="1" applyAlignment="1">
      <alignment/>
    </xf>
    <xf numFmtId="168" fontId="0" fillId="0" borderId="31" xfId="45" applyNumberFormat="1" applyFill="1" applyBorder="1" applyAlignment="1">
      <alignment/>
    </xf>
    <xf numFmtId="10" fontId="55" fillId="0" borderId="31" xfId="58" applyNumberFormat="1" applyFont="1" applyFill="1" applyBorder="1" applyAlignment="1">
      <alignment/>
    </xf>
    <xf numFmtId="10" fontId="55" fillId="0" borderId="31" xfId="58" applyNumberFormat="1" applyFont="1" applyFill="1" applyBorder="1" applyAlignment="1">
      <alignment/>
    </xf>
    <xf numFmtId="10" fontId="55" fillId="0" borderId="0" xfId="58" applyNumberFormat="1" applyFont="1" applyFill="1" applyAlignment="1">
      <alignment/>
    </xf>
    <xf numFmtId="0" fontId="35" fillId="0" borderId="21" xfId="0" applyFont="1" applyFill="1" applyBorder="1" applyAlignment="1">
      <alignment/>
    </xf>
    <xf numFmtId="168" fontId="0" fillId="0" borderId="21" xfId="45" applyNumberFormat="1" applyFill="1" applyBorder="1" applyAlignment="1">
      <alignment/>
    </xf>
    <xf numFmtId="0" fontId="35" fillId="0" borderId="31" xfId="0" applyFont="1" applyFill="1" applyBorder="1" applyAlignment="1">
      <alignment/>
    </xf>
    <xf numFmtId="168" fontId="0" fillId="0" borderId="12" xfId="45" applyNumberFormat="1" applyFill="1" applyBorder="1" applyAlignment="1">
      <alignment/>
    </xf>
    <xf numFmtId="178" fontId="22" fillId="0" borderId="0" xfId="0" applyNumberFormat="1" applyFont="1" applyAlignment="1">
      <alignment/>
    </xf>
    <xf numFmtId="10" fontId="37" fillId="0" borderId="0" xfId="58" applyNumberFormat="1" applyFont="1" applyAlignment="1">
      <alignment/>
    </xf>
    <xf numFmtId="0" fontId="55" fillId="0" borderId="0" xfId="0" applyFont="1" applyAlignment="1">
      <alignment/>
    </xf>
    <xf numFmtId="10" fontId="29" fillId="0" borderId="0" xfId="0" applyNumberFormat="1" applyFont="1" applyAlignment="1">
      <alignment/>
    </xf>
    <xf numFmtId="0" fontId="20" fillId="25" borderId="0" xfId="0" applyFont="1" applyFill="1" applyAlignment="1">
      <alignment/>
    </xf>
    <xf numFmtId="0" fontId="37" fillId="0" borderId="0" xfId="0" applyFont="1" applyAlignment="1">
      <alignment/>
    </xf>
    <xf numFmtId="0" fontId="0" fillId="0" borderId="32" xfId="0" applyBorder="1" applyAlignment="1">
      <alignment/>
    </xf>
    <xf numFmtId="0" fontId="35" fillId="0" borderId="0" xfId="0" applyFont="1" applyAlignment="1">
      <alignment horizontal="center"/>
    </xf>
    <xf numFmtId="168" fontId="22" fillId="24" borderId="0" xfId="0" applyNumberFormat="1" applyFont="1" applyFill="1" applyAlignment="1">
      <alignment/>
    </xf>
    <xf numFmtId="0" fontId="22" fillId="0" borderId="0" xfId="0" applyFont="1" applyAlignment="1">
      <alignment/>
    </xf>
    <xf numFmtId="6" fontId="57" fillId="0" borderId="28" xfId="0" applyNumberFormat="1" applyFont="1" applyBorder="1" applyAlignment="1">
      <alignment/>
    </xf>
    <xf numFmtId="168" fontId="22" fillId="0" borderId="0" xfId="0" applyNumberFormat="1" applyFont="1" applyAlignment="1">
      <alignment/>
    </xf>
    <xf numFmtId="0" fontId="35" fillId="26" borderId="0" xfId="0" applyFont="1" applyFill="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35" fillId="22" borderId="0" xfId="0" applyFont="1" applyFill="1" applyAlignment="1">
      <alignment/>
    </xf>
    <xf numFmtId="3" fontId="37" fillId="0" borderId="0" xfId="0" applyNumberFormat="1" applyFont="1" applyAlignment="1">
      <alignment/>
    </xf>
    <xf numFmtId="6" fontId="58" fillId="0" borderId="0" xfId="0" applyNumberFormat="1" applyFont="1" applyAlignment="1">
      <alignment/>
    </xf>
    <xf numFmtId="175" fontId="0" fillId="0" borderId="12" xfId="50" applyNumberFormat="1" applyFont="1" applyBorder="1" applyAlignment="1">
      <alignment/>
    </xf>
    <xf numFmtId="6" fontId="0" fillId="0" borderId="12" xfId="0" applyNumberFormat="1" applyBorder="1" applyAlignment="1">
      <alignment/>
    </xf>
    <xf numFmtId="6" fontId="59" fillId="0" borderId="12" xfId="0" applyNumberFormat="1" applyFont="1" applyBorder="1" applyAlignment="1">
      <alignment/>
    </xf>
    <xf numFmtId="10" fontId="0" fillId="22" borderId="0" xfId="58" applyNumberFormat="1" applyFill="1" applyAlignment="1">
      <alignment/>
    </xf>
    <xf numFmtId="166" fontId="0" fillId="26" borderId="0" xfId="58" applyNumberFormat="1" applyFill="1" applyAlignment="1">
      <alignment/>
    </xf>
    <xf numFmtId="0" fontId="0" fillId="0" borderId="36" xfId="0" applyBorder="1" applyAlignment="1">
      <alignment/>
    </xf>
    <xf numFmtId="0" fontId="0" fillId="0" borderId="37" xfId="0" applyBorder="1" applyAlignment="1">
      <alignment/>
    </xf>
    <xf numFmtId="0" fontId="35" fillId="0" borderId="12" xfId="0" applyFont="1" applyBorder="1" applyAlignment="1">
      <alignment horizontal="right"/>
    </xf>
    <xf numFmtId="0" fontId="21" fillId="0" borderId="38" xfId="0" applyFont="1" applyBorder="1" applyAlignment="1">
      <alignment/>
    </xf>
    <xf numFmtId="6" fontId="60" fillId="0" borderId="12" xfId="0" applyNumberFormat="1" applyFont="1" applyFill="1" applyBorder="1" applyAlignment="1">
      <alignment/>
    </xf>
    <xf numFmtId="0" fontId="35" fillId="0" borderId="12" xfId="0" applyFont="1" applyBorder="1" applyAlignment="1">
      <alignment horizontal="center"/>
    </xf>
    <xf numFmtId="0" fontId="35" fillId="0" borderId="19" xfId="0" applyFont="1" applyBorder="1" applyAlignment="1">
      <alignment horizontal="center"/>
    </xf>
    <xf numFmtId="6" fontId="34" fillId="0" borderId="22" xfId="0" applyNumberFormat="1" applyFont="1" applyBorder="1" applyAlignment="1">
      <alignment/>
    </xf>
    <xf numFmtId="6" fontId="34" fillId="0" borderId="12" xfId="0" applyNumberFormat="1" applyFont="1" applyBorder="1" applyAlignment="1">
      <alignment/>
    </xf>
    <xf numFmtId="6" fontId="34" fillId="0" borderId="0" xfId="0" applyNumberFormat="1" applyFont="1" applyAlignment="1">
      <alignment/>
    </xf>
    <xf numFmtId="10" fontId="37" fillId="23" borderId="0" xfId="58" applyNumberFormat="1" applyFont="1" applyFill="1" applyAlignment="1">
      <alignment/>
    </xf>
    <xf numFmtId="0" fontId="37" fillId="23" borderId="0" xfId="0" applyFont="1" applyFill="1" applyAlignment="1">
      <alignment/>
    </xf>
    <xf numFmtId="168" fontId="0" fillId="0" borderId="12" xfId="45" applyNumberFormat="1" applyFont="1" applyFill="1" applyBorder="1" applyAlignment="1">
      <alignment/>
    </xf>
    <xf numFmtId="6" fontId="0" fillId="22" borderId="12" xfId="0" applyNumberFormat="1" applyFill="1" applyBorder="1" applyAlignment="1">
      <alignment/>
    </xf>
    <xf numFmtId="6" fontId="22" fillId="26" borderId="0" xfId="0" applyNumberFormat="1" applyFont="1" applyFill="1" applyAlignment="1">
      <alignment/>
    </xf>
    <xf numFmtId="168" fontId="60" fillId="0" borderId="0" xfId="45" applyNumberFormat="1" applyFont="1" applyAlignment="1">
      <alignment/>
    </xf>
    <xf numFmtId="6" fontId="34" fillId="0" borderId="13" xfId="0" applyNumberFormat="1" applyFont="1" applyFill="1" applyBorder="1" applyAlignment="1">
      <alignment/>
    </xf>
    <xf numFmtId="6" fontId="34" fillId="0" borderId="21" xfId="0" applyNumberFormat="1" applyFont="1" applyFill="1" applyBorder="1" applyAlignment="1">
      <alignment/>
    </xf>
    <xf numFmtId="0" fontId="62" fillId="0" borderId="0" xfId="0" applyFont="1" applyAlignment="1">
      <alignment/>
    </xf>
    <xf numFmtId="0" fontId="0" fillId="25" borderId="0" xfId="0" applyFill="1" applyAlignment="1">
      <alignment/>
    </xf>
    <xf numFmtId="0" fontId="42" fillId="0" borderId="0" xfId="0" applyFont="1" applyAlignment="1">
      <alignment/>
    </xf>
    <xf numFmtId="6" fontId="49" fillId="0" borderId="12" xfId="0" applyNumberFormat="1" applyFont="1" applyBorder="1" applyAlignment="1">
      <alignment/>
    </xf>
    <xf numFmtId="3" fontId="0" fillId="11" borderId="0" xfId="0" applyNumberFormat="1" applyFill="1" applyBorder="1" applyAlignment="1">
      <alignment horizontal="center" wrapText="1"/>
    </xf>
    <xf numFmtId="0" fontId="65" fillId="0" borderId="0" xfId="0" applyFont="1" applyAlignment="1">
      <alignment/>
    </xf>
    <xf numFmtId="0" fontId="51" fillId="25" borderId="0" xfId="0" applyFont="1" applyFill="1" applyAlignment="1">
      <alignment horizontal="center"/>
    </xf>
    <xf numFmtId="10" fontId="37" fillId="0" borderId="31" xfId="58" applyNumberFormat="1" applyFont="1" applyBorder="1" applyAlignment="1">
      <alignment/>
    </xf>
    <xf numFmtId="10" fontId="37" fillId="0" borderId="21" xfId="58" applyNumberFormat="1" applyFont="1" applyBorder="1" applyAlignment="1">
      <alignment/>
    </xf>
    <xf numFmtId="10" fontId="37" fillId="0" borderId="31" xfId="58" applyNumberFormat="1" applyFont="1" applyFill="1" applyBorder="1" applyAlignment="1">
      <alignment/>
    </xf>
    <xf numFmtId="10" fontId="37" fillId="23" borderId="31" xfId="58" applyNumberFormat="1" applyFont="1" applyFill="1" applyBorder="1" applyAlignment="1">
      <alignment/>
    </xf>
    <xf numFmtId="0" fontId="34" fillId="23" borderId="0" xfId="0" applyFont="1" applyFill="1" applyAlignment="1">
      <alignment horizontal="center"/>
    </xf>
    <xf numFmtId="0" fontId="21" fillId="23" borderId="28" xfId="0" applyFont="1" applyFill="1" applyBorder="1" applyAlignment="1">
      <alignment horizontal="center"/>
    </xf>
    <xf numFmtId="0" fontId="0" fillId="23" borderId="0" xfId="0" applyFill="1" applyAlignment="1">
      <alignment horizontal="center"/>
    </xf>
    <xf numFmtId="6" fontId="34" fillId="23" borderId="12" xfId="0" applyNumberFormat="1" applyFont="1" applyFill="1" applyBorder="1" applyAlignment="1">
      <alignment/>
    </xf>
    <xf numFmtId="0" fontId="21" fillId="23" borderId="25" xfId="0" applyFont="1" applyFill="1" applyBorder="1" applyAlignment="1">
      <alignment/>
    </xf>
    <xf numFmtId="0" fontId="21" fillId="23" borderId="26" xfId="0" applyFont="1" applyFill="1" applyBorder="1" applyAlignment="1">
      <alignment/>
    </xf>
    <xf numFmtId="0" fontId="21" fillId="23" borderId="27" xfId="0" applyFont="1" applyFill="1" applyBorder="1" applyAlignment="1">
      <alignment/>
    </xf>
    <xf numFmtId="6" fontId="60" fillId="23" borderId="12" xfId="0" applyNumberFormat="1" applyFont="1" applyFill="1" applyBorder="1" applyAlignment="1">
      <alignment/>
    </xf>
    <xf numFmtId="6" fontId="34" fillId="23" borderId="21" xfId="0" applyNumberFormat="1" applyFont="1" applyFill="1" applyBorder="1" applyAlignment="1">
      <alignment/>
    </xf>
    <xf numFmtId="6" fontId="0" fillId="23" borderId="0" xfId="0" applyNumberFormat="1" applyFill="1" applyAlignment="1">
      <alignment/>
    </xf>
    <xf numFmtId="6" fontId="66" fillId="23" borderId="13" xfId="0" applyNumberFormat="1" applyFont="1" applyFill="1" applyBorder="1" applyAlignment="1">
      <alignment/>
    </xf>
    <xf numFmtId="0" fontId="0" fillId="23" borderId="0" xfId="0" applyFill="1" applyBorder="1" applyAlignment="1">
      <alignment/>
    </xf>
    <xf numFmtId="0" fontId="21" fillId="23" borderId="0" xfId="0" applyFont="1" applyFill="1" applyBorder="1" applyAlignment="1">
      <alignment/>
    </xf>
    <xf numFmtId="6" fontId="34" fillId="23" borderId="0" xfId="0" applyNumberFormat="1" applyFont="1" applyFill="1" applyBorder="1" applyAlignment="1">
      <alignment/>
    </xf>
    <xf numFmtId="0" fontId="53" fillId="23" borderId="0" xfId="0" applyFont="1" applyFill="1" applyAlignment="1">
      <alignment/>
    </xf>
    <xf numFmtId="6" fontId="33" fillId="0" borderId="0" xfId="0" applyNumberFormat="1" applyFont="1" applyFill="1" applyBorder="1" applyAlignment="1">
      <alignment/>
    </xf>
    <xf numFmtId="3" fontId="21" fillId="11" borderId="39" xfId="0" applyNumberFormat="1" applyFont="1" applyFill="1" applyBorder="1" applyAlignment="1">
      <alignment horizontal="center" wrapText="1"/>
    </xf>
    <xf numFmtId="3" fontId="21" fillId="27" borderId="40" xfId="0" applyNumberFormat="1" applyFont="1" applyFill="1" applyBorder="1" applyAlignment="1">
      <alignment horizontal="center" wrapText="1"/>
    </xf>
    <xf numFmtId="3" fontId="0" fillId="27" borderId="40" xfId="0" applyNumberFormat="1" applyFont="1" applyFill="1" applyBorder="1" applyAlignment="1">
      <alignment horizontal="left"/>
    </xf>
    <xf numFmtId="10" fontId="21" fillId="27" borderId="41" xfId="0" applyNumberFormat="1" applyFont="1" applyFill="1" applyBorder="1" applyAlignment="1">
      <alignment horizontal="center" wrapText="1"/>
    </xf>
    <xf numFmtId="0" fontId="33" fillId="28" borderId="42" xfId="0" applyFont="1" applyFill="1" applyBorder="1" applyAlignment="1">
      <alignment horizontal="left" wrapText="1"/>
    </xf>
    <xf numFmtId="3" fontId="42" fillId="11" borderId="0" xfId="0" applyNumberFormat="1" applyFont="1" applyFill="1" applyBorder="1" applyAlignment="1">
      <alignment horizontal="center" wrapText="1"/>
    </xf>
    <xf numFmtId="6" fontId="42" fillId="0" borderId="0" xfId="0" applyNumberFormat="1" applyFont="1" applyAlignment="1">
      <alignment/>
    </xf>
    <xf numFmtId="0" fontId="63" fillId="18" borderId="0" xfId="0" applyFont="1" applyFill="1" applyAlignment="1">
      <alignment/>
    </xf>
    <xf numFmtId="0" fontId="20" fillId="18" borderId="12" xfId="0" applyFont="1" applyFill="1" applyBorder="1" applyAlignment="1">
      <alignment horizontal="center"/>
    </xf>
    <xf numFmtId="6" fontId="63" fillId="29" borderId="0" xfId="0" applyNumberFormat="1" applyFont="1" applyFill="1" applyAlignment="1">
      <alignment/>
    </xf>
    <xf numFmtId="0" fontId="61" fillId="18" borderId="0" xfId="0" applyFont="1" applyFill="1" applyAlignment="1">
      <alignment horizontal="center"/>
    </xf>
    <xf numFmtId="165" fontId="63" fillId="30" borderId="35" xfId="0" applyNumberFormat="1" applyFont="1" applyFill="1" applyBorder="1" applyAlignment="1">
      <alignment horizontal="center"/>
    </xf>
    <xf numFmtId="10" fontId="64" fillId="0" borderId="0" xfId="58" applyNumberFormat="1" applyFont="1" applyFill="1" applyAlignment="1">
      <alignment horizontal="center"/>
    </xf>
    <xf numFmtId="0" fontId="68" fillId="0" borderId="26" xfId="0" applyFont="1" applyBorder="1" applyAlignment="1">
      <alignment horizontal="center"/>
    </xf>
    <xf numFmtId="3" fontId="0" fillId="11" borderId="12" xfId="0" applyNumberFormat="1" applyFill="1" applyBorder="1" applyAlignment="1">
      <alignment horizontal="center" wrapText="1"/>
    </xf>
    <xf numFmtId="165" fontId="0" fillId="0" borderId="12" xfId="0" applyNumberFormat="1" applyBorder="1" applyAlignment="1">
      <alignment/>
    </xf>
    <xf numFmtId="0" fontId="0" fillId="0" borderId="12" xfId="0" applyBorder="1" applyAlignment="1">
      <alignment horizontal="center"/>
    </xf>
    <xf numFmtId="3" fontId="0" fillId="0" borderId="43" xfId="0" applyNumberFormat="1" applyFont="1" applyBorder="1" applyAlignment="1">
      <alignment horizontal="center"/>
    </xf>
    <xf numFmtId="10" fontId="0" fillId="11" borderId="44" xfId="0" applyNumberFormat="1" applyFont="1" applyFill="1" applyBorder="1" applyAlignment="1">
      <alignment horizontal="left" wrapText="1"/>
    </xf>
    <xf numFmtId="165" fontId="63" fillId="30" borderId="34" xfId="0" applyNumberFormat="1" applyFont="1" applyFill="1" applyBorder="1" applyAlignment="1">
      <alignment horizontal="center"/>
    </xf>
    <xf numFmtId="10" fontId="0" fillId="11" borderId="45" xfId="0" applyNumberFormat="1" applyFont="1" applyFill="1" applyBorder="1" applyAlignment="1">
      <alignment horizontal="left" wrapText="1"/>
    </xf>
    <xf numFmtId="0" fontId="0" fillId="0" borderId="0" xfId="0" applyFill="1" applyBorder="1" applyAlignment="1">
      <alignment/>
    </xf>
    <xf numFmtId="3" fontId="42" fillId="0" borderId="0" xfId="0" applyNumberFormat="1" applyFont="1" applyFill="1" applyBorder="1" applyAlignment="1">
      <alignment horizontal="center"/>
    </xf>
    <xf numFmtId="3" fontId="0" fillId="0" borderId="0" xfId="0" applyNumberFormat="1" applyFont="1" applyFill="1" applyBorder="1" applyAlignment="1">
      <alignment horizontal="left"/>
    </xf>
    <xf numFmtId="3" fontId="23" fillId="0" borderId="0" xfId="0" applyNumberFormat="1" applyFont="1" applyFill="1" applyBorder="1" applyAlignment="1">
      <alignment horizontal="center"/>
    </xf>
    <xf numFmtId="3" fontId="21" fillId="11" borderId="46" xfId="0" applyNumberFormat="1" applyFont="1" applyFill="1" applyBorder="1" applyAlignment="1">
      <alignment horizontal="center" wrapText="1"/>
    </xf>
    <xf numFmtId="10" fontId="21" fillId="11" borderId="47" xfId="0" applyNumberFormat="1" applyFont="1" applyFill="1" applyBorder="1" applyAlignment="1">
      <alignment horizontal="center" wrapText="1"/>
    </xf>
    <xf numFmtId="165" fontId="21" fillId="0" borderId="48" xfId="0" applyNumberFormat="1" applyFont="1" applyBorder="1" applyAlignment="1">
      <alignment horizontal="center"/>
    </xf>
    <xf numFmtId="10" fontId="0" fillId="0" borderId="49" xfId="0" applyNumberFormat="1" applyFont="1" applyFill="1" applyBorder="1" applyAlignment="1">
      <alignment horizontal="center" wrapText="1"/>
    </xf>
    <xf numFmtId="165" fontId="0" fillId="0" borderId="12" xfId="0" applyNumberFormat="1" applyBorder="1" applyAlignment="1">
      <alignment horizontal="left"/>
    </xf>
    <xf numFmtId="0" fontId="0" fillId="0" borderId="12" xfId="0" applyBorder="1" applyAlignment="1">
      <alignment horizontal="left"/>
    </xf>
    <xf numFmtId="10" fontId="0" fillId="11" borderId="12" xfId="0" applyNumberFormat="1" applyFont="1" applyFill="1" applyBorder="1" applyAlignment="1">
      <alignment horizontal="left" wrapText="1"/>
    </xf>
    <xf numFmtId="10" fontId="21" fillId="11" borderId="50" xfId="0" applyNumberFormat="1" applyFont="1" applyFill="1" applyBorder="1" applyAlignment="1">
      <alignment horizontal="center" wrapText="1"/>
    </xf>
    <xf numFmtId="165" fontId="0" fillId="0" borderId="13" xfId="0" applyNumberFormat="1" applyBorder="1" applyAlignment="1">
      <alignment horizontal="left"/>
    </xf>
    <xf numFmtId="0" fontId="0" fillId="0" borderId="13" xfId="0" applyBorder="1" applyAlignment="1">
      <alignment horizontal="left"/>
    </xf>
    <xf numFmtId="10" fontId="0" fillId="11" borderId="13" xfId="0" applyNumberFormat="1" applyFont="1" applyFill="1" applyBorder="1" applyAlignment="1">
      <alignment horizontal="left" wrapText="1"/>
    </xf>
    <xf numFmtId="10" fontId="0" fillId="11" borderId="51" xfId="0" applyNumberFormat="1" applyFont="1" applyFill="1" applyBorder="1" applyAlignment="1">
      <alignment horizontal="center" wrapText="1"/>
    </xf>
    <xf numFmtId="3" fontId="21" fillId="19" borderId="12" xfId="0" applyNumberFormat="1" applyFont="1" applyFill="1" applyBorder="1" applyAlignment="1">
      <alignment horizontal="center" wrapText="1"/>
    </xf>
    <xf numFmtId="3" fontId="26" fillId="11" borderId="12" xfId="0" applyNumberFormat="1" applyFont="1" applyFill="1" applyBorder="1" applyAlignment="1">
      <alignment horizontal="center" wrapText="1"/>
    </xf>
    <xf numFmtId="3" fontId="0" fillId="11" borderId="12" xfId="0" applyNumberFormat="1" applyFill="1" applyBorder="1" applyAlignment="1">
      <alignment horizontal="left" wrapText="1"/>
    </xf>
    <xf numFmtId="3" fontId="41" fillId="11" borderId="12" xfId="0" applyNumberFormat="1" applyFont="1" applyFill="1" applyBorder="1" applyAlignment="1">
      <alignment horizontal="left" wrapText="1"/>
    </xf>
    <xf numFmtId="3" fontId="0" fillId="0" borderId="12" xfId="0" applyNumberFormat="1" applyFont="1" applyFill="1" applyBorder="1" applyAlignment="1">
      <alignment horizontal="center" wrapText="1"/>
    </xf>
    <xf numFmtId="0" fontId="0" fillId="31" borderId="0" xfId="0" applyFill="1" applyAlignment="1">
      <alignment/>
    </xf>
    <xf numFmtId="0" fontId="21" fillId="31" borderId="0" xfId="0" applyFont="1" applyFill="1" applyAlignment="1">
      <alignment/>
    </xf>
    <xf numFmtId="0" fontId="48" fillId="31" borderId="0" xfId="0" applyFont="1" applyFill="1" applyAlignment="1">
      <alignment/>
    </xf>
    <xf numFmtId="10" fontId="0" fillId="11" borderId="13" xfId="0" applyNumberFormat="1" applyFont="1" applyFill="1" applyBorder="1" applyAlignment="1">
      <alignment horizontal="center" wrapText="1"/>
    </xf>
    <xf numFmtId="3" fontId="70" fillId="0" borderId="31" xfId="55" applyNumberFormat="1" applyFont="1" applyFill="1" applyBorder="1" applyAlignment="1">
      <alignment horizontal="right" vertical="top" readingOrder="1"/>
      <protection/>
    </xf>
    <xf numFmtId="0" fontId="33" fillId="0" borderId="0" xfId="0" applyFont="1" applyFill="1" applyBorder="1" applyAlignment="1">
      <alignment horizontal="left" wrapText="1"/>
    </xf>
    <xf numFmtId="165" fontId="33" fillId="0" borderId="0" xfId="0" applyNumberFormat="1" applyFont="1" applyFill="1" applyBorder="1" applyAlignment="1">
      <alignment horizontal="right"/>
    </xf>
    <xf numFmtId="0" fontId="41" fillId="0" borderId="19" xfId="0" applyFont="1" applyFill="1" applyBorder="1" applyAlignment="1">
      <alignment/>
    </xf>
    <xf numFmtId="179" fontId="0" fillId="0" borderId="22" xfId="0" applyNumberFormat="1" applyFont="1" applyFill="1" applyBorder="1" applyAlignment="1">
      <alignment vertical="center" wrapText="1"/>
    </xf>
    <xf numFmtId="0" fontId="0" fillId="32" borderId="0" xfId="0" applyFill="1" applyAlignment="1">
      <alignment/>
    </xf>
    <xf numFmtId="0" fontId="35" fillId="32" borderId="0" xfId="0" applyFont="1" applyFill="1" applyAlignment="1">
      <alignment horizontal="right"/>
    </xf>
    <xf numFmtId="10" fontId="69" fillId="32" borderId="12" xfId="58" applyNumberFormat="1" applyFont="1" applyFill="1" applyBorder="1" applyAlignment="1">
      <alignment horizontal="center"/>
    </xf>
    <xf numFmtId="0" fontId="42" fillId="0" borderId="0" xfId="0" applyFont="1" applyFill="1" applyBorder="1" applyAlignment="1">
      <alignment horizontal="left" wrapText="1"/>
    </xf>
    <xf numFmtId="0" fontId="65" fillId="0" borderId="12" xfId="0" applyFont="1" applyBorder="1" applyAlignment="1">
      <alignment horizontal="center" wrapText="1"/>
    </xf>
    <xf numFmtId="6" fontId="65" fillId="0" borderId="12" xfId="0" applyNumberFormat="1" applyFont="1" applyBorder="1" applyAlignment="1">
      <alignment horizontal="center" wrapText="1"/>
    </xf>
    <xf numFmtId="0" fontId="65" fillId="0" borderId="17" xfId="0" applyFont="1" applyBorder="1" applyAlignment="1">
      <alignment horizontal="center" wrapText="1"/>
    </xf>
    <xf numFmtId="6" fontId="65" fillId="0" borderId="17" xfId="0" applyNumberFormat="1" applyFont="1" applyBorder="1" applyAlignment="1">
      <alignment horizontal="center" wrapText="1"/>
    </xf>
    <xf numFmtId="0" fontId="42" fillId="0" borderId="12" xfId="0" applyFont="1" applyFill="1" applyBorder="1" applyAlignment="1">
      <alignment horizontal="left" wrapText="1"/>
    </xf>
    <xf numFmtId="164" fontId="0" fillId="0" borderId="12" xfId="45" applyFont="1" applyBorder="1" applyAlignment="1">
      <alignment horizontal="center"/>
    </xf>
    <xf numFmtId="3" fontId="0" fillId="0" borderId="12" xfId="0" applyNumberFormat="1" applyFont="1" applyFill="1" applyBorder="1" applyAlignment="1">
      <alignment horizontal="center"/>
    </xf>
    <xf numFmtId="164" fontId="0" fillId="0" borderId="0" xfId="45" applyFont="1" applyBorder="1" applyAlignment="1">
      <alignment horizontal="center"/>
    </xf>
    <xf numFmtId="6" fontId="65" fillId="0" borderId="0" xfId="0" applyNumberFormat="1" applyFont="1" applyBorder="1" applyAlignment="1">
      <alignment horizontal="center" wrapText="1"/>
    </xf>
    <xf numFmtId="3" fontId="0" fillId="11" borderId="0" xfId="0" applyNumberFormat="1" applyFill="1" applyBorder="1" applyAlignment="1">
      <alignment horizontal="right" wrapText="1"/>
    </xf>
    <xf numFmtId="0" fontId="65" fillId="0" borderId="12" xfId="0" applyFont="1" applyBorder="1" applyAlignment="1">
      <alignment/>
    </xf>
    <xf numFmtId="6" fontId="42" fillId="0" borderId="12" xfId="0" applyNumberFormat="1" applyFont="1" applyBorder="1" applyAlignment="1">
      <alignment/>
    </xf>
    <xf numFmtId="3" fontId="21" fillId="33" borderId="52" xfId="0" applyNumberFormat="1" applyFont="1" applyFill="1" applyBorder="1" applyAlignment="1">
      <alignment horizontal="center" wrapText="1"/>
    </xf>
    <xf numFmtId="3" fontId="21" fillId="33" borderId="13" xfId="0" applyNumberFormat="1" applyFont="1" applyFill="1" applyBorder="1" applyAlignment="1">
      <alignment horizontal="center" wrapText="1"/>
    </xf>
    <xf numFmtId="165" fontId="33" fillId="28" borderId="53" xfId="0" applyNumberFormat="1" applyFont="1" applyFill="1" applyBorder="1" applyAlignment="1">
      <alignment horizontal="right"/>
    </xf>
    <xf numFmtId="0" fontId="65" fillId="0" borderId="13" xfId="0" applyFont="1" applyBorder="1" applyAlignment="1">
      <alignment/>
    </xf>
    <xf numFmtId="3" fontId="0" fillId="11" borderId="13" xfId="0" applyNumberFormat="1" applyFill="1" applyBorder="1" applyAlignment="1">
      <alignment horizontal="center" wrapText="1"/>
    </xf>
    <xf numFmtId="6" fontId="42" fillId="0" borderId="13" xfId="0" applyNumberFormat="1" applyFont="1" applyBorder="1" applyAlignment="1">
      <alignment/>
    </xf>
    <xf numFmtId="3" fontId="21" fillId="27" borderId="41" xfId="0" applyNumberFormat="1" applyFont="1" applyFill="1" applyBorder="1" applyAlignment="1">
      <alignment horizontal="center"/>
    </xf>
    <xf numFmtId="3" fontId="21" fillId="34" borderId="12" xfId="0" applyNumberFormat="1" applyFont="1" applyFill="1" applyBorder="1" applyAlignment="1">
      <alignment horizontal="center" wrapText="1"/>
    </xf>
    <xf numFmtId="3" fontId="22" fillId="34" borderId="12" xfId="0" applyNumberFormat="1" applyFont="1" applyFill="1" applyBorder="1" applyAlignment="1">
      <alignment horizontal="center" wrapText="1"/>
    </xf>
    <xf numFmtId="6" fontId="33" fillId="35" borderId="12" xfId="0" applyNumberFormat="1" applyFont="1" applyFill="1" applyBorder="1" applyAlignment="1">
      <alignment/>
    </xf>
    <xf numFmtId="3" fontId="71" fillId="34" borderId="12" xfId="0" applyNumberFormat="1" applyFont="1" applyFill="1" applyBorder="1" applyAlignment="1">
      <alignment horizontal="left" wrapText="1"/>
    </xf>
    <xf numFmtId="0" fontId="67" fillId="36" borderId="19" xfId="0" applyFont="1" applyFill="1" applyBorder="1" applyAlignment="1">
      <alignment/>
    </xf>
    <xf numFmtId="0" fontId="20" fillId="25" borderId="31" xfId="0" applyFont="1" applyFill="1" applyBorder="1" applyAlignment="1">
      <alignment/>
    </xf>
    <xf numFmtId="0" fontId="61" fillId="25" borderId="31" xfId="0" applyFont="1" applyFill="1" applyBorder="1" applyAlignment="1">
      <alignment horizontal="center"/>
    </xf>
    <xf numFmtId="6" fontId="0" fillId="25" borderId="31" xfId="0" applyNumberFormat="1" applyFill="1" applyBorder="1" applyAlignment="1">
      <alignment/>
    </xf>
    <xf numFmtId="0" fontId="0" fillId="25" borderId="31" xfId="0" applyFill="1" applyBorder="1" applyAlignment="1">
      <alignment/>
    </xf>
    <xf numFmtId="6" fontId="63" fillId="25" borderId="31" xfId="0" applyNumberFormat="1" applyFont="1" applyFill="1" applyBorder="1" applyAlignment="1">
      <alignment/>
    </xf>
    <xf numFmtId="0" fontId="0" fillId="25" borderId="22" xfId="0" applyFill="1" applyBorder="1" applyAlignment="1">
      <alignment/>
    </xf>
    <xf numFmtId="3" fontId="71" fillId="34" borderId="12" xfId="0" applyNumberFormat="1" applyFont="1" applyFill="1" applyBorder="1" applyAlignment="1">
      <alignment horizontal="center" wrapText="1"/>
    </xf>
    <xf numFmtId="3" fontId="42" fillId="34" borderId="12" xfId="0" applyNumberFormat="1" applyFont="1" applyFill="1" applyBorder="1" applyAlignment="1">
      <alignment horizontal="center" wrapText="1"/>
    </xf>
    <xf numFmtId="3" fontId="42" fillId="11" borderId="13" xfId="0" applyNumberFormat="1" applyFont="1" applyFill="1" applyBorder="1" applyAlignment="1">
      <alignment horizontal="center" wrapText="1"/>
    </xf>
    <xf numFmtId="3" fontId="42" fillId="11" borderId="12" xfId="0" applyNumberFormat="1" applyFont="1" applyFill="1" applyBorder="1" applyAlignment="1">
      <alignment horizontal="center" wrapText="1"/>
    </xf>
    <xf numFmtId="3" fontId="42" fillId="0" borderId="0" xfId="0" applyNumberFormat="1" applyFont="1" applyFill="1" applyBorder="1" applyAlignment="1">
      <alignment horizontal="center" wrapText="1"/>
    </xf>
    <xf numFmtId="3" fontId="71" fillId="11" borderId="11" xfId="0" applyNumberFormat="1" applyFont="1" applyFill="1" applyBorder="1" applyAlignment="1">
      <alignment horizontal="center" wrapText="1"/>
    </xf>
    <xf numFmtId="3" fontId="42" fillId="11" borderId="15" xfId="0" applyNumberFormat="1" applyFont="1" applyFill="1" applyBorder="1" applyAlignment="1">
      <alignment horizontal="left" wrapText="1"/>
    </xf>
    <xf numFmtId="3" fontId="42" fillId="11" borderId="10" xfId="0" applyNumberFormat="1" applyFont="1" applyFill="1" applyBorder="1" applyAlignment="1">
      <alignment horizontal="left" wrapText="1"/>
    </xf>
    <xf numFmtId="3" fontId="42" fillId="11" borderId="15" xfId="0" applyNumberFormat="1" applyFont="1" applyFill="1" applyBorder="1" applyAlignment="1">
      <alignment horizontal="left"/>
    </xf>
    <xf numFmtId="3" fontId="42" fillId="11" borderId="10" xfId="0" applyNumberFormat="1" applyFont="1" applyFill="1" applyBorder="1" applyAlignment="1">
      <alignment horizontal="left"/>
    </xf>
    <xf numFmtId="0" fontId="42" fillId="18" borderId="0" xfId="0" applyFont="1" applyFill="1" applyAlignment="1">
      <alignment/>
    </xf>
    <xf numFmtId="3" fontId="71" fillId="11" borderId="48" xfId="0" applyNumberFormat="1" applyFont="1" applyFill="1" applyBorder="1" applyAlignment="1">
      <alignment horizontal="center" wrapText="1"/>
    </xf>
    <xf numFmtId="3" fontId="42" fillId="11" borderId="13" xfId="0" applyNumberFormat="1" applyFont="1" applyFill="1" applyBorder="1" applyAlignment="1">
      <alignment horizontal="left" wrapText="1"/>
    </xf>
    <xf numFmtId="3" fontId="42" fillId="11" borderId="12" xfId="0" applyNumberFormat="1" applyFont="1" applyFill="1" applyBorder="1" applyAlignment="1">
      <alignment horizontal="left" wrapText="1"/>
    </xf>
    <xf numFmtId="3" fontId="71" fillId="11" borderId="14" xfId="0" applyNumberFormat="1" applyFont="1" applyFill="1" applyBorder="1" applyAlignment="1">
      <alignment horizontal="center" wrapText="1"/>
    </xf>
    <xf numFmtId="0" fontId="42" fillId="0" borderId="0" xfId="0" applyFont="1" applyFill="1" applyBorder="1" applyAlignment="1">
      <alignment horizontal="center"/>
    </xf>
    <xf numFmtId="3" fontId="71" fillId="0" borderId="0" xfId="0" applyNumberFormat="1" applyFont="1" applyFill="1" applyBorder="1" applyAlignment="1">
      <alignment horizontal="center" wrapText="1"/>
    </xf>
    <xf numFmtId="3" fontId="71" fillId="0" borderId="12" xfId="0" applyNumberFormat="1" applyFont="1" applyFill="1" applyBorder="1" applyAlignment="1">
      <alignment horizontal="center" wrapText="1"/>
    </xf>
    <xf numFmtId="3" fontId="42" fillId="0" borderId="12" xfId="0" applyNumberFormat="1" applyFont="1" applyFill="1" applyBorder="1" applyAlignment="1">
      <alignment horizontal="center" wrapText="1"/>
    </xf>
    <xf numFmtId="3" fontId="71" fillId="27" borderId="40" xfId="0" applyNumberFormat="1" applyFont="1" applyFill="1" applyBorder="1" applyAlignment="1">
      <alignment horizontal="center" wrapText="1"/>
    </xf>
    <xf numFmtId="3" fontId="42" fillId="27" borderId="40" xfId="0" applyNumberFormat="1" applyFont="1" applyFill="1" applyBorder="1" applyAlignment="1">
      <alignment horizontal="center" wrapText="1"/>
    </xf>
    <xf numFmtId="0" fontId="20" fillId="37" borderId="31" xfId="0" applyFont="1" applyFill="1" applyBorder="1" applyAlignment="1">
      <alignment horizontal="center" wrapText="1"/>
    </xf>
    <xf numFmtId="0" fontId="20" fillId="37" borderId="31" xfId="0" applyFont="1" applyFill="1" applyBorder="1" applyAlignment="1">
      <alignment/>
    </xf>
    <xf numFmtId="0" fontId="20" fillId="37" borderId="22" xfId="0" applyFont="1" applyFill="1" applyBorder="1" applyAlignment="1">
      <alignment/>
    </xf>
    <xf numFmtId="0" fontId="0" fillId="0" borderId="20" xfId="0" applyBorder="1" applyAlignment="1">
      <alignment horizontal="left"/>
    </xf>
    <xf numFmtId="0" fontId="0" fillId="0" borderId="20" xfId="0" applyFill="1" applyBorder="1" applyAlignment="1">
      <alignment horizontal="left"/>
    </xf>
    <xf numFmtId="10" fontId="0" fillId="0" borderId="0" xfId="58" applyNumberFormat="1" applyAlignment="1">
      <alignment/>
    </xf>
    <xf numFmtId="168" fontId="72" fillId="0" borderId="0" xfId="45" applyNumberFormat="1" applyFont="1" applyAlignment="1">
      <alignment/>
    </xf>
    <xf numFmtId="10" fontId="0" fillId="0" borderId="12" xfId="0" applyNumberFormat="1" applyBorder="1" applyAlignment="1">
      <alignment/>
    </xf>
    <xf numFmtId="6" fontId="34" fillId="22" borderId="0" xfId="0" applyNumberFormat="1" applyFont="1" applyFill="1" applyBorder="1" applyAlignment="1">
      <alignment/>
    </xf>
    <xf numFmtId="0" fontId="23" fillId="0" borderId="19" xfId="0" applyFont="1" applyBorder="1" applyAlignment="1">
      <alignment/>
    </xf>
    <xf numFmtId="0" fontId="73" fillId="0" borderId="54" xfId="0" applyFont="1" applyBorder="1" applyAlignment="1">
      <alignment/>
    </xf>
    <xf numFmtId="0" fontId="73" fillId="0" borderId="23" xfId="0" applyFont="1" applyBorder="1" applyAlignment="1">
      <alignment/>
    </xf>
    <xf numFmtId="10" fontId="36" fillId="0" borderId="0" xfId="58" applyNumberFormat="1" applyFont="1" applyAlignment="1">
      <alignment horizontal="left"/>
    </xf>
    <xf numFmtId="0" fontId="35" fillId="0" borderId="0" xfId="0" applyFont="1" applyBorder="1" applyAlignment="1">
      <alignment horizontal="right"/>
    </xf>
    <xf numFmtId="168" fontId="36" fillId="0" borderId="0" xfId="45" applyNumberFormat="1" applyFont="1" applyAlignment="1">
      <alignment/>
    </xf>
    <xf numFmtId="175" fontId="22" fillId="0" borderId="0" xfId="50" applyNumberFormat="1" applyFont="1" applyAlignment="1">
      <alignment/>
    </xf>
    <xf numFmtId="168" fontId="74" fillId="0" borderId="0" xfId="0" applyNumberFormat="1" applyFont="1" applyFill="1" applyAlignment="1">
      <alignment/>
    </xf>
    <xf numFmtId="9" fontId="0" fillId="0" borderId="0" xfId="0" applyNumberFormat="1" applyAlignment="1">
      <alignment horizontal="center"/>
    </xf>
    <xf numFmtId="6" fontId="29" fillId="0" borderId="0" xfId="0" applyNumberFormat="1" applyFont="1" applyAlignment="1">
      <alignment/>
    </xf>
    <xf numFmtId="3" fontId="0" fillId="11" borderId="12" xfId="0" applyNumberFormat="1" applyFont="1" applyFill="1" applyBorder="1" applyAlignment="1">
      <alignment horizontal="left" wrapText="1"/>
    </xf>
    <xf numFmtId="3" fontId="0" fillId="11" borderId="12" xfId="0" applyNumberFormat="1" applyFont="1" applyFill="1" applyBorder="1" applyAlignment="1">
      <alignment horizontal="center" wrapText="1"/>
    </xf>
    <xf numFmtId="165" fontId="0" fillId="0" borderId="12" xfId="0" applyNumberFormat="1" applyFont="1" applyBorder="1" applyAlignment="1">
      <alignment horizontal="center"/>
    </xf>
    <xf numFmtId="0" fontId="0" fillId="0" borderId="12" xfId="0" applyFont="1" applyBorder="1" applyAlignment="1">
      <alignment/>
    </xf>
    <xf numFmtId="10" fontId="0" fillId="11" borderId="12" xfId="0" applyNumberFormat="1" applyFont="1" applyFill="1" applyBorder="1" applyAlignment="1">
      <alignment horizontal="center" wrapText="1"/>
    </xf>
    <xf numFmtId="3" fontId="0" fillId="11" borderId="12" xfId="0" applyNumberFormat="1" applyFont="1" applyFill="1" applyBorder="1" applyAlignment="1">
      <alignment horizontal="left" wrapText="1"/>
    </xf>
    <xf numFmtId="3" fontId="0" fillId="11" borderId="12" xfId="0" applyNumberFormat="1" applyFont="1" applyFill="1" applyBorder="1" applyAlignment="1">
      <alignment horizontal="center" wrapText="1"/>
    </xf>
    <xf numFmtId="165" fontId="21" fillId="0" borderId="12" xfId="0" applyNumberFormat="1" applyFont="1" applyBorder="1" applyAlignment="1">
      <alignment horizontal="center"/>
    </xf>
    <xf numFmtId="3" fontId="0" fillId="11" borderId="13" xfId="0" applyNumberFormat="1" applyFont="1" applyFill="1" applyBorder="1" applyAlignment="1">
      <alignment horizontal="center" wrapText="1"/>
    </xf>
    <xf numFmtId="10" fontId="0" fillId="11" borderId="13" xfId="0" applyNumberFormat="1" applyFont="1" applyFill="1" applyBorder="1" applyAlignment="1">
      <alignment horizontal="center" wrapText="1"/>
    </xf>
    <xf numFmtId="165" fontId="0" fillId="0" borderId="12" xfId="0" applyNumberFormat="1" applyFont="1" applyBorder="1" applyAlignment="1">
      <alignment horizontal="center"/>
    </xf>
    <xf numFmtId="3" fontId="71" fillId="11" borderId="28" xfId="0" applyNumberFormat="1" applyFont="1" applyFill="1" applyBorder="1" applyAlignment="1">
      <alignment horizontal="center" wrapText="1"/>
    </xf>
    <xf numFmtId="0" fontId="32" fillId="0" borderId="0" xfId="0" applyFont="1" applyAlignment="1">
      <alignment/>
    </xf>
    <xf numFmtId="0" fontId="42" fillId="0" borderId="0" xfId="0" applyFont="1" applyAlignment="1">
      <alignment horizontal="right"/>
    </xf>
    <xf numFmtId="165" fontId="42" fillId="35" borderId="12" xfId="0" applyNumberFormat="1" applyFont="1" applyFill="1" applyBorder="1" applyAlignment="1">
      <alignment horizontal="right"/>
    </xf>
    <xf numFmtId="165" fontId="42" fillId="0" borderId="13" xfId="0" applyNumberFormat="1" applyFont="1" applyBorder="1" applyAlignment="1">
      <alignment horizontal="right"/>
    </xf>
    <xf numFmtId="165" fontId="42" fillId="0" borderId="12" xfId="0" applyNumberFormat="1" applyFont="1" applyBorder="1" applyAlignment="1">
      <alignment horizontal="right"/>
    </xf>
    <xf numFmtId="3" fontId="42" fillId="0" borderId="0" xfId="0" applyNumberFormat="1" applyFont="1" applyFill="1" applyBorder="1" applyAlignment="1">
      <alignment horizontal="right" wrapText="1"/>
    </xf>
    <xf numFmtId="165" fontId="42" fillId="0" borderId="15" xfId="0" applyNumberFormat="1" applyFont="1" applyBorder="1" applyAlignment="1">
      <alignment horizontal="right"/>
    </xf>
    <xf numFmtId="165" fontId="42" fillId="0" borderId="10" xfId="0" applyNumberFormat="1" applyFont="1" applyBorder="1" applyAlignment="1">
      <alignment horizontal="right"/>
    </xf>
    <xf numFmtId="165" fontId="42" fillId="0" borderId="0" xfId="0" applyNumberFormat="1" applyFont="1" applyBorder="1" applyAlignment="1">
      <alignment horizontal="right"/>
    </xf>
    <xf numFmtId="3" fontId="42" fillId="11" borderId="12" xfId="0" applyNumberFormat="1" applyFont="1" applyFill="1" applyBorder="1" applyAlignment="1">
      <alignment horizontal="right" wrapText="1"/>
    </xf>
    <xf numFmtId="165" fontId="42" fillId="0" borderId="46" xfId="0" applyNumberFormat="1" applyFont="1" applyBorder="1" applyAlignment="1">
      <alignment horizontal="right"/>
    </xf>
    <xf numFmtId="165" fontId="42" fillId="0" borderId="0" xfId="0" applyNumberFormat="1" applyFont="1" applyFill="1" applyBorder="1" applyAlignment="1">
      <alignment horizontal="right"/>
    </xf>
    <xf numFmtId="165" fontId="61" fillId="18" borderId="0" xfId="0" applyNumberFormat="1" applyFont="1" applyFill="1" applyAlignment="1">
      <alignment horizontal="right"/>
    </xf>
    <xf numFmtId="10" fontId="20" fillId="18" borderId="0" xfId="58" applyNumberFormat="1" applyFont="1" applyFill="1" applyAlignment="1">
      <alignment/>
    </xf>
    <xf numFmtId="0" fontId="33" fillId="22" borderId="12" xfId="0" applyFont="1" applyFill="1" applyBorder="1" applyAlignment="1">
      <alignment horizontal="left" wrapText="1"/>
    </xf>
    <xf numFmtId="3" fontId="21" fillId="22" borderId="12" xfId="0" applyNumberFormat="1" applyFont="1" applyFill="1" applyBorder="1" applyAlignment="1">
      <alignment horizontal="center" wrapText="1"/>
    </xf>
    <xf numFmtId="3" fontId="71" fillId="22" borderId="12" xfId="0" applyNumberFormat="1" applyFont="1" applyFill="1" applyBorder="1" applyAlignment="1">
      <alignment horizontal="center" wrapText="1"/>
    </xf>
    <xf numFmtId="3" fontId="22" fillId="22" borderId="12" xfId="0" applyNumberFormat="1" applyFont="1" applyFill="1" applyBorder="1" applyAlignment="1">
      <alignment horizontal="center" wrapText="1"/>
    </xf>
    <xf numFmtId="165" fontId="33" fillId="22" borderId="12" xfId="0" applyNumberFormat="1" applyFont="1" applyFill="1" applyBorder="1" applyAlignment="1">
      <alignment horizontal="right"/>
    </xf>
    <xf numFmtId="10" fontId="21" fillId="22" borderId="12" xfId="0" applyNumberFormat="1" applyFont="1" applyFill="1" applyBorder="1" applyAlignment="1">
      <alignment horizontal="center" wrapText="1"/>
    </xf>
    <xf numFmtId="0" fontId="33" fillId="24" borderId="12" xfId="0" applyFont="1" applyFill="1" applyBorder="1" applyAlignment="1">
      <alignment horizontal="left" wrapText="1"/>
    </xf>
    <xf numFmtId="3" fontId="21" fillId="24" borderId="12" xfId="0" applyNumberFormat="1" applyFont="1" applyFill="1" applyBorder="1" applyAlignment="1">
      <alignment horizontal="center" wrapText="1"/>
    </xf>
    <xf numFmtId="3" fontId="71" fillId="24" borderId="12" xfId="0" applyNumberFormat="1" applyFont="1" applyFill="1" applyBorder="1" applyAlignment="1">
      <alignment horizontal="center" wrapText="1"/>
    </xf>
    <xf numFmtId="165" fontId="33" fillId="24" borderId="12" xfId="0" applyNumberFormat="1" applyFont="1" applyFill="1" applyBorder="1" applyAlignment="1">
      <alignment horizontal="right"/>
    </xf>
    <xf numFmtId="10" fontId="21" fillId="24" borderId="12" xfId="0" applyNumberFormat="1" applyFont="1" applyFill="1" applyBorder="1" applyAlignment="1">
      <alignment horizontal="center" wrapText="1"/>
    </xf>
    <xf numFmtId="10" fontId="32" fillId="0" borderId="0" xfId="0" applyNumberFormat="1" applyFont="1" applyFill="1" applyBorder="1" applyAlignment="1">
      <alignment horizontal="left"/>
    </xf>
    <xf numFmtId="168" fontId="42" fillId="0" borderId="0" xfId="45" applyNumberFormat="1" applyFont="1" applyFill="1" applyBorder="1" applyAlignment="1">
      <alignment horizontal="right"/>
    </xf>
    <xf numFmtId="0" fontId="0" fillId="0" borderId="0" xfId="0" applyFont="1" applyFill="1" applyBorder="1" applyAlignment="1">
      <alignment/>
    </xf>
    <xf numFmtId="10" fontId="0" fillId="0" borderId="0" xfId="58" applyNumberFormat="1" applyFont="1" applyFill="1" applyBorder="1" applyAlignment="1">
      <alignment/>
    </xf>
    <xf numFmtId="10" fontId="42" fillId="0" borderId="12" xfId="0" applyNumberFormat="1" applyFont="1" applyFill="1" applyBorder="1" applyAlignment="1">
      <alignment/>
    </xf>
    <xf numFmtId="0" fontId="76" fillId="0" borderId="12" xfId="0" applyFont="1" applyFill="1" applyBorder="1" applyAlignment="1">
      <alignment/>
    </xf>
    <xf numFmtId="10" fontId="75" fillId="38" borderId="0" xfId="58" applyNumberFormat="1" applyFont="1" applyFill="1" applyBorder="1" applyAlignment="1">
      <alignment/>
    </xf>
    <xf numFmtId="10" fontId="75" fillId="0" borderId="0" xfId="58" applyNumberFormat="1" applyFont="1" applyFill="1" applyBorder="1" applyAlignment="1">
      <alignment/>
    </xf>
    <xf numFmtId="0" fontId="32" fillId="0" borderId="0" xfId="0" applyFont="1" applyFill="1" applyBorder="1" applyAlignment="1">
      <alignment/>
    </xf>
    <xf numFmtId="0" fontId="32" fillId="0" borderId="0" xfId="0" applyFont="1" applyBorder="1" applyAlignment="1">
      <alignment/>
    </xf>
    <xf numFmtId="0" fontId="32" fillId="0" borderId="0" xfId="0" applyFont="1" applyFill="1" applyAlignment="1">
      <alignment/>
    </xf>
    <xf numFmtId="0" fontId="77" fillId="0" borderId="0" xfId="0" applyFont="1" applyBorder="1" applyAlignment="1">
      <alignment/>
    </xf>
    <xf numFmtId="3" fontId="42" fillId="11" borderId="46" xfId="0" applyNumberFormat="1" applyFont="1" applyFill="1" applyBorder="1" applyAlignment="1">
      <alignment horizontal="center" wrapText="1"/>
    </xf>
    <xf numFmtId="165" fontId="42" fillId="0" borderId="40" xfId="0" applyNumberFormat="1" applyFont="1" applyBorder="1" applyAlignment="1">
      <alignment horizontal="right"/>
    </xf>
    <xf numFmtId="3" fontId="41" fillId="24" borderId="12" xfId="0" applyNumberFormat="1" applyFont="1" applyFill="1" applyBorder="1" applyAlignment="1">
      <alignment horizontal="center"/>
    </xf>
    <xf numFmtId="3" fontId="41" fillId="22" borderId="12" xfId="0" applyNumberFormat="1" applyFont="1" applyFill="1" applyBorder="1" applyAlignment="1">
      <alignment horizontal="center" wrapText="1"/>
    </xf>
    <xf numFmtId="3" fontId="0" fillId="24" borderId="12" xfId="0" applyNumberFormat="1" applyFont="1" applyFill="1" applyBorder="1" applyAlignment="1">
      <alignment horizontal="center"/>
    </xf>
    <xf numFmtId="3" fontId="0" fillId="22" borderId="12" xfId="0" applyNumberFormat="1" applyFont="1" applyFill="1" applyBorder="1" applyAlignment="1">
      <alignment horizontal="center"/>
    </xf>
    <xf numFmtId="10" fontId="78" fillId="34" borderId="12" xfId="0" applyNumberFormat="1" applyFont="1" applyFill="1" applyBorder="1" applyAlignment="1">
      <alignment horizontal="right" wrapText="1"/>
    </xf>
    <xf numFmtId="0" fontId="76" fillId="0" borderId="13" xfId="0" applyFont="1" applyFill="1" applyBorder="1" applyAlignment="1">
      <alignment/>
    </xf>
    <xf numFmtId="10" fontId="42" fillId="0" borderId="13" xfId="0" applyNumberFormat="1" applyFont="1" applyFill="1" applyBorder="1" applyAlignment="1">
      <alignment/>
    </xf>
    <xf numFmtId="0" fontId="20" fillId="20" borderId="31" xfId="0" applyFont="1" applyFill="1" applyBorder="1" applyAlignment="1">
      <alignment/>
    </xf>
    <xf numFmtId="0" fontId="61" fillId="20" borderId="31" xfId="0" applyFont="1" applyFill="1" applyBorder="1" applyAlignment="1">
      <alignment horizontal="center"/>
    </xf>
    <xf numFmtId="168" fontId="42" fillId="20" borderId="31" xfId="45" applyNumberFormat="1" applyFont="1" applyFill="1" applyBorder="1" applyAlignment="1">
      <alignment horizontal="right"/>
    </xf>
    <xf numFmtId="0" fontId="0" fillId="20" borderId="31" xfId="0" applyFill="1" applyBorder="1" applyAlignment="1">
      <alignment/>
    </xf>
    <xf numFmtId="6" fontId="63" fillId="20" borderId="31" xfId="0" applyNumberFormat="1" applyFont="1" applyFill="1" applyBorder="1" applyAlignment="1">
      <alignment/>
    </xf>
    <xf numFmtId="10" fontId="78" fillId="20" borderId="22" xfId="58" applyNumberFormat="1" applyFont="1" applyFill="1" applyBorder="1" applyAlignment="1">
      <alignment/>
    </xf>
    <xf numFmtId="9" fontId="23" fillId="0" borderId="0" xfId="0" applyNumberFormat="1" applyFont="1" applyAlignment="1">
      <alignment/>
    </xf>
    <xf numFmtId="10" fontId="0" fillId="0" borderId="12" xfId="58" applyNumberFormat="1" applyBorder="1" applyAlignment="1">
      <alignment horizontal="center"/>
    </xf>
    <xf numFmtId="9" fontId="0" fillId="23" borderId="0" xfId="0" applyNumberFormat="1" applyFill="1" applyAlignment="1">
      <alignment/>
    </xf>
    <xf numFmtId="9" fontId="0" fillId="0" borderId="0" xfId="0" applyNumberFormat="1" applyBorder="1" applyAlignment="1">
      <alignment/>
    </xf>
    <xf numFmtId="10" fontId="23" fillId="0" borderId="12" xfId="58" applyNumberFormat="1" applyFont="1" applyBorder="1" applyAlignment="1">
      <alignment/>
    </xf>
    <xf numFmtId="3" fontId="41" fillId="11" borderId="12" xfId="47" applyNumberFormat="1" applyFont="1" applyFill="1" applyBorder="1" applyAlignment="1">
      <alignment horizontal="left" wrapText="1"/>
    </xf>
    <xf numFmtId="10" fontId="23" fillId="0" borderId="12" xfId="58" applyNumberFormat="1" applyFont="1" applyBorder="1" applyAlignment="1">
      <alignment horizontal="center"/>
    </xf>
    <xf numFmtId="3" fontId="41" fillId="11" borderId="12" xfId="0" applyNumberFormat="1" applyFont="1" applyFill="1" applyBorder="1" applyAlignment="1">
      <alignment horizontal="center" wrapText="1"/>
    </xf>
    <xf numFmtId="3" fontId="33" fillId="19" borderId="19" xfId="0" applyNumberFormat="1" applyFont="1" applyFill="1" applyBorder="1" applyAlignment="1">
      <alignment horizontal="left" wrapText="1"/>
    </xf>
    <xf numFmtId="0" fontId="41" fillId="39" borderId="31" xfId="0" applyFont="1" applyFill="1" applyBorder="1" applyAlignment="1">
      <alignment horizontal="center"/>
    </xf>
    <xf numFmtId="3" fontId="71" fillId="19" borderId="55" xfId="0" applyNumberFormat="1" applyFont="1" applyFill="1" applyBorder="1" applyAlignment="1">
      <alignment horizontal="center" wrapText="1"/>
    </xf>
    <xf numFmtId="6" fontId="41" fillId="39" borderId="31" xfId="0" applyNumberFormat="1" applyFont="1" applyFill="1" applyBorder="1" applyAlignment="1">
      <alignment horizontal="center"/>
    </xf>
    <xf numFmtId="3" fontId="22" fillId="39" borderId="55" xfId="0" applyNumberFormat="1" applyFont="1" applyFill="1" applyBorder="1" applyAlignment="1">
      <alignment horizontal="center" wrapText="1"/>
    </xf>
    <xf numFmtId="6" fontId="33" fillId="39" borderId="31" xfId="0" applyNumberFormat="1" applyFont="1" applyFill="1" applyBorder="1" applyAlignment="1">
      <alignment/>
    </xf>
    <xf numFmtId="0" fontId="0" fillId="39" borderId="22" xfId="0" applyFill="1" applyBorder="1" applyAlignment="1">
      <alignment/>
    </xf>
    <xf numFmtId="165" fontId="69" fillId="0" borderId="40" xfId="0" applyNumberFormat="1" applyFont="1" applyBorder="1" applyAlignment="1">
      <alignment horizontal="center"/>
    </xf>
    <xf numFmtId="165" fontId="69" fillId="0" borderId="48" xfId="0" applyNumberFormat="1" applyFont="1" applyBorder="1" applyAlignment="1">
      <alignment horizontal="center"/>
    </xf>
    <xf numFmtId="10" fontId="0" fillId="11" borderId="47" xfId="0" applyNumberFormat="1" applyFont="1" applyFill="1" applyBorder="1" applyAlignment="1">
      <alignment horizontal="center" wrapText="1"/>
    </xf>
    <xf numFmtId="3" fontId="41" fillId="11" borderId="12" xfId="0" applyNumberFormat="1" applyFont="1" applyFill="1" applyBorder="1" applyAlignment="1">
      <alignment wrapText="1"/>
    </xf>
    <xf numFmtId="3" fontId="41" fillId="0" borderId="0" xfId="0" applyNumberFormat="1" applyFont="1" applyFill="1" applyBorder="1" applyAlignment="1">
      <alignment horizontal="center" wrapText="1"/>
    </xf>
    <xf numFmtId="3" fontId="41" fillId="11" borderId="0" xfId="0" applyNumberFormat="1" applyFont="1" applyFill="1" applyBorder="1" applyAlignment="1">
      <alignment horizontal="center" wrapText="1"/>
    </xf>
    <xf numFmtId="3" fontId="41" fillId="11" borderId="15" xfId="0" applyNumberFormat="1" applyFont="1" applyFill="1" applyBorder="1" applyAlignment="1">
      <alignment horizontal="left" wrapText="1"/>
    </xf>
    <xf numFmtId="3" fontId="41" fillId="11" borderId="10" xfId="0" applyNumberFormat="1" applyFont="1" applyFill="1" applyBorder="1" applyAlignment="1">
      <alignment horizontal="left" wrapText="1"/>
    </xf>
    <xf numFmtId="3" fontId="41" fillId="11" borderId="39" xfId="0" applyNumberFormat="1" applyFont="1" applyFill="1" applyBorder="1" applyAlignment="1">
      <alignment horizontal="left" wrapText="1"/>
    </xf>
    <xf numFmtId="3" fontId="42" fillId="11" borderId="39" xfId="0" applyNumberFormat="1" applyFont="1" applyFill="1" applyBorder="1" applyAlignment="1">
      <alignment horizontal="left" wrapText="1"/>
    </xf>
    <xf numFmtId="3" fontId="41" fillId="11" borderId="13" xfId="0" applyNumberFormat="1" applyFont="1" applyFill="1" applyBorder="1" applyAlignment="1">
      <alignment wrapText="1"/>
    </xf>
    <xf numFmtId="3" fontId="71" fillId="11" borderId="46" xfId="0" applyNumberFormat="1" applyFont="1" applyFill="1" applyBorder="1" applyAlignment="1">
      <alignment horizontal="center" wrapText="1"/>
    </xf>
    <xf numFmtId="0" fontId="42" fillId="0" borderId="28" xfId="0" applyFont="1" applyBorder="1" applyAlignment="1">
      <alignment horizontal="right"/>
    </xf>
    <xf numFmtId="165" fontId="0" fillId="0" borderId="11" xfId="0" applyNumberFormat="1" applyBorder="1" applyAlignment="1">
      <alignment horizontal="center"/>
    </xf>
    <xf numFmtId="3" fontId="41" fillId="11" borderId="13" xfId="0" applyNumberFormat="1" applyFont="1" applyFill="1" applyBorder="1" applyAlignment="1">
      <alignment horizontal="left" wrapText="1"/>
    </xf>
    <xf numFmtId="0" fontId="0" fillId="0" borderId="0" xfId="56" applyFill="1" applyBorder="1">
      <alignment/>
      <protection/>
    </xf>
    <xf numFmtId="0" fontId="20" fillId="30" borderId="0" xfId="56" applyFont="1" applyFill="1">
      <alignment/>
      <protection/>
    </xf>
    <xf numFmtId="0" fontId="0" fillId="0" borderId="0" xfId="56">
      <alignment/>
      <protection/>
    </xf>
    <xf numFmtId="0" fontId="65" fillId="0" borderId="0" xfId="56" applyFont="1" applyFill="1" applyBorder="1" applyAlignment="1">
      <alignment horizontal="center" vertical="top" wrapText="1"/>
      <protection/>
    </xf>
    <xf numFmtId="0" fontId="65" fillId="0" borderId="56" xfId="56" applyFont="1" applyFill="1" applyBorder="1" applyAlignment="1">
      <alignment horizontal="center" vertical="top"/>
      <protection/>
    </xf>
    <xf numFmtId="0" fontId="65" fillId="0" borderId="17" xfId="56" applyFont="1" applyBorder="1" applyAlignment="1">
      <alignment horizontal="center" wrapText="1"/>
      <protection/>
    </xf>
    <xf numFmtId="6" fontId="65" fillId="0" borderId="17" xfId="56" applyNumberFormat="1" applyFont="1" applyBorder="1" applyAlignment="1">
      <alignment horizontal="center" wrapText="1"/>
      <protection/>
    </xf>
    <xf numFmtId="0" fontId="65" fillId="0" borderId="12" xfId="56" applyFont="1" applyBorder="1" applyAlignment="1">
      <alignment horizontal="center" wrapText="1"/>
      <protection/>
    </xf>
    <xf numFmtId="6" fontId="65" fillId="0" borderId="12" xfId="56" applyNumberFormat="1" applyFont="1" applyBorder="1" applyAlignment="1">
      <alignment horizontal="center" wrapText="1"/>
      <protection/>
    </xf>
    <xf numFmtId="0" fontId="65" fillId="0" borderId="0" xfId="56" applyFont="1" applyFill="1" applyBorder="1" applyAlignment="1">
      <alignment horizontal="center" wrapText="1"/>
      <protection/>
    </xf>
    <xf numFmtId="6" fontId="65" fillId="0" borderId="0" xfId="56" applyNumberFormat="1" applyFont="1" applyFill="1" applyBorder="1" applyAlignment="1">
      <alignment horizontal="center" wrapText="1"/>
      <protection/>
    </xf>
    <xf numFmtId="0" fontId="0" fillId="0" borderId="12" xfId="56" applyBorder="1">
      <alignment/>
      <protection/>
    </xf>
    <xf numFmtId="0" fontId="20" fillId="36" borderId="12" xfId="56" applyFont="1" applyFill="1" applyBorder="1" applyAlignment="1">
      <alignment horizontal="center"/>
      <protection/>
    </xf>
    <xf numFmtId="44" fontId="20" fillId="36" borderId="12" xfId="46" applyNumberFormat="1" applyFont="1" applyFill="1" applyBorder="1" applyAlignment="1">
      <alignment horizontal="center"/>
    </xf>
    <xf numFmtId="0" fontId="79" fillId="0" borderId="57" xfId="56" applyFont="1" applyBorder="1">
      <alignment/>
      <protection/>
    </xf>
    <xf numFmtId="0" fontId="20" fillId="40" borderId="57" xfId="56" applyFont="1" applyFill="1" applyBorder="1">
      <alignment/>
      <protection/>
    </xf>
    <xf numFmtId="0" fontId="71" fillId="0" borderId="0" xfId="56" applyFont="1">
      <alignment/>
      <protection/>
    </xf>
    <xf numFmtId="0" fontId="0" fillId="0" borderId="0" xfId="56" applyFont="1">
      <alignment/>
      <protection/>
    </xf>
    <xf numFmtId="0" fontId="36" fillId="0" borderId="58" xfId="56" applyFont="1" applyBorder="1">
      <alignment/>
      <protection/>
    </xf>
    <xf numFmtId="165" fontId="0" fillId="0" borderId="58" xfId="56" applyNumberFormat="1" applyFont="1" applyBorder="1">
      <alignment/>
      <protection/>
    </xf>
    <xf numFmtId="0" fontId="0" fillId="0" borderId="58" xfId="56" applyBorder="1">
      <alignment/>
      <protection/>
    </xf>
    <xf numFmtId="0" fontId="0" fillId="0" borderId="58" xfId="56" applyBorder="1" applyAlignment="1">
      <alignment horizontal="center"/>
      <protection/>
    </xf>
    <xf numFmtId="0" fontId="36" fillId="0" borderId="0" xfId="56" applyFont="1">
      <alignment/>
      <protection/>
    </xf>
    <xf numFmtId="165" fontId="0" fillId="0" borderId="0" xfId="56" applyNumberFormat="1" applyFont="1">
      <alignment/>
      <protection/>
    </xf>
    <xf numFmtId="0" fontId="0" fillId="0" borderId="0" xfId="56" applyAlignment="1">
      <alignment horizontal="center"/>
      <protection/>
    </xf>
    <xf numFmtId="0" fontId="0" fillId="0" borderId="59" xfId="56" applyFont="1" applyBorder="1">
      <alignment/>
      <protection/>
    </xf>
    <xf numFmtId="0" fontId="36" fillId="0" borderId="0" xfId="56" applyFont="1" applyAlignment="1">
      <alignment horizontal="right"/>
      <protection/>
    </xf>
    <xf numFmtId="10" fontId="80" fillId="0" borderId="0" xfId="59" applyNumberFormat="1" applyFont="1" applyFill="1" applyBorder="1" applyAlignment="1" applyProtection="1">
      <alignment horizontal="left"/>
      <protection/>
    </xf>
    <xf numFmtId="0" fontId="81" fillId="0" borderId="0" xfId="56" applyFont="1">
      <alignment/>
      <protection/>
    </xf>
    <xf numFmtId="0" fontId="37" fillId="0" borderId="0" xfId="56" applyFont="1">
      <alignment/>
      <protection/>
    </xf>
    <xf numFmtId="0" fontId="0" fillId="0" borderId="60" xfId="56" applyBorder="1">
      <alignment/>
      <protection/>
    </xf>
    <xf numFmtId="0" fontId="0" fillId="0" borderId="60" xfId="56" applyBorder="1" applyAlignment="1">
      <alignment horizontal="center"/>
      <protection/>
    </xf>
    <xf numFmtId="0" fontId="21" fillId="0" borderId="0" xfId="56" applyFont="1" applyAlignment="1">
      <alignment horizontal="center"/>
      <protection/>
    </xf>
    <xf numFmtId="165" fontId="0" fillId="0" borderId="57" xfId="56" applyNumberFormat="1" applyBorder="1">
      <alignment/>
      <protection/>
    </xf>
    <xf numFmtId="165" fontId="29" fillId="0" borderId="0" xfId="56" applyNumberFormat="1" applyFont="1">
      <alignment/>
      <protection/>
    </xf>
    <xf numFmtId="0" fontId="29" fillId="0" borderId="0" xfId="56" applyFont="1">
      <alignment/>
      <protection/>
    </xf>
    <xf numFmtId="10" fontId="58" fillId="0" borderId="0" xfId="56" applyNumberFormat="1" applyFont="1">
      <alignment/>
      <protection/>
    </xf>
    <xf numFmtId="0" fontId="82" fillId="0" borderId="0" xfId="56" applyFont="1">
      <alignment/>
      <protection/>
    </xf>
    <xf numFmtId="4" fontId="35" fillId="0" borderId="0" xfId="56" applyNumberFormat="1" applyFont="1">
      <alignment/>
      <protection/>
    </xf>
    <xf numFmtId="4" fontId="0" fillId="0" borderId="0" xfId="56" applyNumberFormat="1">
      <alignment/>
      <protection/>
    </xf>
    <xf numFmtId="0" fontId="21" fillId="23" borderId="12" xfId="56" applyFont="1" applyFill="1" applyBorder="1" applyAlignment="1">
      <alignment horizontal="center"/>
      <protection/>
    </xf>
    <xf numFmtId="3" fontId="21" fillId="23" borderId="12" xfId="56" applyNumberFormat="1" applyFont="1" applyFill="1" applyBorder="1" applyAlignment="1">
      <alignment horizontal="center"/>
      <protection/>
    </xf>
    <xf numFmtId="4" fontId="21" fillId="23" borderId="12" xfId="56" applyNumberFormat="1" applyFont="1" applyFill="1" applyBorder="1" applyAlignment="1">
      <alignment horizontal="center"/>
      <protection/>
    </xf>
    <xf numFmtId="0" fontId="21" fillId="0" borderId="12" xfId="56" applyFont="1" applyBorder="1" applyAlignment="1">
      <alignment horizontal="center"/>
      <protection/>
    </xf>
    <xf numFmtId="3" fontId="0" fillId="0" borderId="12" xfId="56" applyNumberFormat="1" applyFont="1" applyBorder="1">
      <alignment/>
      <protection/>
    </xf>
    <xf numFmtId="4" fontId="0" fillId="0" borderId="12" xfId="56" applyNumberFormat="1" applyBorder="1">
      <alignment/>
      <protection/>
    </xf>
    <xf numFmtId="0" fontId="83" fillId="0" borderId="12" xfId="56" applyFont="1" applyBorder="1" applyAlignment="1">
      <alignment horizontal="center"/>
      <protection/>
    </xf>
    <xf numFmtId="3" fontId="58" fillId="0" borderId="12" xfId="56" applyNumberFormat="1" applyFont="1" applyBorder="1">
      <alignment/>
      <protection/>
    </xf>
    <xf numFmtId="44" fontId="59" fillId="0" borderId="12" xfId="46" applyFont="1" applyBorder="1" applyAlignment="1">
      <alignment/>
    </xf>
    <xf numFmtId="3" fontId="35" fillId="0" borderId="0" xfId="56" applyNumberFormat="1" applyFont="1">
      <alignment/>
      <protection/>
    </xf>
    <xf numFmtId="3" fontId="0" fillId="0" borderId="0" xfId="56" applyNumberFormat="1">
      <alignment/>
      <protection/>
    </xf>
    <xf numFmtId="0" fontId="0" fillId="0" borderId="0" xfId="56" applyBorder="1">
      <alignment/>
      <protection/>
    </xf>
    <xf numFmtId="3" fontId="0" fillId="0" borderId="0" xfId="56" applyNumberFormat="1" applyBorder="1">
      <alignment/>
      <protection/>
    </xf>
    <xf numFmtId="4" fontId="0" fillId="0" borderId="0" xfId="56" applyNumberFormat="1" applyBorder="1">
      <alignment/>
      <protection/>
    </xf>
    <xf numFmtId="3" fontId="0" fillId="0" borderId="0" xfId="56" applyNumberFormat="1" applyFill="1" applyBorder="1">
      <alignment/>
      <protection/>
    </xf>
    <xf numFmtId="4" fontId="0" fillId="0" borderId="0" xfId="56" applyNumberFormat="1" applyFill="1" applyBorder="1">
      <alignment/>
      <protection/>
    </xf>
    <xf numFmtId="0" fontId="0" fillId="0" borderId="12" xfId="56" applyFont="1" applyBorder="1" applyAlignment="1">
      <alignment horizontal="center"/>
      <protection/>
    </xf>
    <xf numFmtId="3" fontId="0" fillId="0" borderId="12" xfId="56" applyNumberFormat="1" applyBorder="1">
      <alignment/>
      <protection/>
    </xf>
    <xf numFmtId="203" fontId="84" fillId="0" borderId="0" xfId="46" applyNumberFormat="1" applyFont="1" applyAlignment="1">
      <alignment/>
    </xf>
    <xf numFmtId="0" fontId="83" fillId="0" borderId="0" xfId="56" applyFont="1" applyAlignment="1">
      <alignment horizontal="center"/>
      <protection/>
    </xf>
    <xf numFmtId="3" fontId="58" fillId="0" borderId="0" xfId="56" applyNumberFormat="1" applyFont="1">
      <alignment/>
      <protection/>
    </xf>
    <xf numFmtId="0" fontId="83" fillId="0" borderId="0" xfId="56" applyFont="1" applyBorder="1" applyAlignment="1">
      <alignment horizontal="center"/>
      <protection/>
    </xf>
    <xf numFmtId="3" fontId="58" fillId="0" borderId="0" xfId="56" applyNumberFormat="1" applyFont="1" applyBorder="1">
      <alignment/>
      <protection/>
    </xf>
    <xf numFmtId="203" fontId="36" fillId="0" borderId="0" xfId="46" applyNumberFormat="1" applyFont="1" applyAlignment="1">
      <alignment/>
    </xf>
    <xf numFmtId="44" fontId="58" fillId="0" borderId="12" xfId="46" applyFont="1" applyBorder="1" applyAlignment="1">
      <alignment/>
    </xf>
    <xf numFmtId="44" fontId="58" fillId="0" borderId="0" xfId="46" applyFont="1" applyBorder="1" applyAlignment="1">
      <alignment/>
    </xf>
    <xf numFmtId="44" fontId="58" fillId="0" borderId="0" xfId="46" applyFont="1" applyAlignment="1">
      <alignment/>
    </xf>
    <xf numFmtId="0" fontId="21" fillId="23" borderId="19" xfId="56" applyFont="1" applyFill="1" applyBorder="1" applyAlignment="1">
      <alignment horizontal="center"/>
      <protection/>
    </xf>
    <xf numFmtId="203" fontId="36" fillId="0" borderId="17" xfId="46" applyNumberFormat="1" applyFont="1" applyBorder="1" applyAlignment="1">
      <alignment horizontal="right"/>
    </xf>
    <xf numFmtId="203" fontId="36" fillId="0" borderId="13" xfId="46" applyNumberFormat="1" applyFont="1" applyBorder="1" applyAlignment="1">
      <alignment horizontal="right"/>
    </xf>
    <xf numFmtId="203" fontId="36" fillId="0" borderId="12" xfId="46" applyNumberFormat="1" applyFont="1" applyBorder="1" applyAlignment="1">
      <alignment/>
    </xf>
    <xf numFmtId="3" fontId="23" fillId="0" borderId="12" xfId="56" applyNumberFormat="1" applyFont="1" applyBorder="1">
      <alignment/>
      <protection/>
    </xf>
    <xf numFmtId="4" fontId="23" fillId="0" borderId="12" xfId="56" applyNumberFormat="1" applyFont="1" applyBorder="1">
      <alignment/>
      <protection/>
    </xf>
    <xf numFmtId="10" fontId="32" fillId="32" borderId="0" xfId="58" applyNumberFormat="1" applyFont="1" applyFill="1" applyAlignment="1">
      <alignment/>
    </xf>
    <xf numFmtId="10" fontId="42" fillId="22" borderId="0" xfId="58" applyNumberFormat="1" applyFont="1" applyFill="1" applyAlignment="1">
      <alignment/>
    </xf>
    <xf numFmtId="6" fontId="42" fillId="0" borderId="0" xfId="0" applyNumberFormat="1" applyFont="1" applyFill="1" applyAlignment="1">
      <alignment/>
    </xf>
    <xf numFmtId="3" fontId="42" fillId="23" borderId="12" xfId="0" applyNumberFormat="1" applyFont="1" applyFill="1" applyBorder="1" applyAlignment="1">
      <alignment horizontal="center" wrapText="1"/>
    </xf>
    <xf numFmtId="0" fontId="20" fillId="30" borderId="0" xfId="0" applyFont="1" applyFill="1" applyAlignment="1">
      <alignment/>
    </xf>
    <xf numFmtId="0" fontId="0" fillId="30" borderId="0" xfId="0" applyFill="1" applyAlignment="1">
      <alignment/>
    </xf>
    <xf numFmtId="3" fontId="71" fillId="0" borderId="42" xfId="0" applyNumberFormat="1" applyFont="1" applyFill="1" applyBorder="1" applyAlignment="1">
      <alignment horizontal="center" wrapText="1"/>
    </xf>
    <xf numFmtId="3" fontId="21" fillId="0" borderId="40" xfId="0" applyNumberFormat="1" applyFont="1" applyFill="1" applyBorder="1" applyAlignment="1">
      <alignment horizontal="center" wrapText="1"/>
    </xf>
    <xf numFmtId="3" fontId="71" fillId="0" borderId="40" xfId="0" applyNumberFormat="1" applyFont="1" applyFill="1" applyBorder="1" applyAlignment="1">
      <alignment horizontal="center" wrapText="1"/>
    </xf>
    <xf numFmtId="3" fontId="42" fillId="0" borderId="40" xfId="0" applyNumberFormat="1" applyFont="1" applyFill="1" applyBorder="1" applyAlignment="1">
      <alignment horizontal="center" wrapText="1"/>
    </xf>
    <xf numFmtId="165" fontId="21" fillId="0" borderId="40" xfId="0" applyNumberFormat="1" applyFont="1" applyFill="1" applyBorder="1" applyAlignment="1">
      <alignment horizontal="center"/>
    </xf>
    <xf numFmtId="10" fontId="21" fillId="0" borderId="40" xfId="0" applyNumberFormat="1" applyFont="1" applyFill="1" applyBorder="1" applyAlignment="1">
      <alignment horizontal="center" wrapText="1"/>
    </xf>
    <xf numFmtId="10" fontId="21" fillId="0" borderId="41" xfId="0" applyNumberFormat="1" applyFont="1" applyFill="1" applyBorder="1" applyAlignment="1">
      <alignment horizontal="center" wrapText="1"/>
    </xf>
    <xf numFmtId="165" fontId="0" fillId="0" borderId="13" xfId="0" applyNumberFormat="1" applyFont="1" applyBorder="1" applyAlignment="1">
      <alignment horizontal="center"/>
    </xf>
    <xf numFmtId="165" fontId="0" fillId="0" borderId="15" xfId="0" applyNumberFormat="1" applyBorder="1" applyAlignment="1">
      <alignment horizontal="center"/>
    </xf>
    <xf numFmtId="0" fontId="0" fillId="26" borderId="0" xfId="0" applyFill="1" applyAlignment="1">
      <alignment/>
    </xf>
    <xf numFmtId="0" fontId="21" fillId="26" borderId="0" xfId="0" applyFont="1" applyFill="1" applyAlignment="1">
      <alignment/>
    </xf>
    <xf numFmtId="0" fontId="21" fillId="23" borderId="61" xfId="0" applyFont="1" applyFill="1" applyBorder="1" applyAlignment="1">
      <alignment/>
    </xf>
    <xf numFmtId="0" fontId="48" fillId="26" borderId="0" xfId="0" applyFont="1" applyFill="1" applyAlignment="1">
      <alignment/>
    </xf>
    <xf numFmtId="10" fontId="22" fillId="26" borderId="0" xfId="0" applyNumberFormat="1" applyFont="1" applyFill="1" applyAlignment="1">
      <alignment/>
    </xf>
    <xf numFmtId="6" fontId="85" fillId="0" borderId="12" xfId="0" applyNumberFormat="1" applyFont="1" applyFill="1" applyBorder="1" applyAlignment="1">
      <alignment/>
    </xf>
    <xf numFmtId="6" fontId="66" fillId="23" borderId="12" xfId="0" applyNumberFormat="1" applyFont="1" applyFill="1" applyBorder="1" applyAlignment="1">
      <alignment/>
    </xf>
    <xf numFmtId="6" fontId="86" fillId="0" borderId="0" xfId="0" applyNumberFormat="1" applyFont="1" applyBorder="1" applyAlignment="1">
      <alignment/>
    </xf>
    <xf numFmtId="6" fontId="85" fillId="0" borderId="13" xfId="0" applyNumberFormat="1" applyFont="1" applyFill="1" applyBorder="1" applyAlignment="1">
      <alignment/>
    </xf>
    <xf numFmtId="0" fontId="0" fillId="23" borderId="22" xfId="0" applyFill="1" applyBorder="1" applyAlignment="1">
      <alignment/>
    </xf>
    <xf numFmtId="0" fontId="35" fillId="0" borderId="13" xfId="0" applyFont="1" applyBorder="1" applyAlignment="1">
      <alignment/>
    </xf>
    <xf numFmtId="0" fontId="35" fillId="0" borderId="19" xfId="0" applyFont="1" applyBorder="1" applyAlignment="1">
      <alignment/>
    </xf>
    <xf numFmtId="0" fontId="78" fillId="0" borderId="31" xfId="0" applyFont="1" applyBorder="1" applyAlignment="1">
      <alignment/>
    </xf>
    <xf numFmtId="9" fontId="88" fillId="0" borderId="12" xfId="0" applyNumberFormat="1" applyFont="1" applyBorder="1" applyAlignment="1">
      <alignment horizontal="center"/>
    </xf>
    <xf numFmtId="0" fontId="88" fillId="0" borderId="0" xfId="0" applyFont="1" applyAlignment="1">
      <alignment/>
    </xf>
    <xf numFmtId="0" fontId="89" fillId="22" borderId="0" xfId="0" applyFont="1" applyFill="1" applyAlignment="1">
      <alignment/>
    </xf>
    <xf numFmtId="0" fontId="88" fillId="0" borderId="12" xfId="0" applyFont="1" applyBorder="1" applyAlignment="1">
      <alignment/>
    </xf>
    <xf numFmtId="0" fontId="90" fillId="41" borderId="0" xfId="0" applyFont="1" applyFill="1" applyAlignment="1">
      <alignment horizontal="center"/>
    </xf>
    <xf numFmtId="0" fontId="91" fillId="20" borderId="0" xfId="0" applyFont="1" applyFill="1" applyAlignment="1">
      <alignment/>
    </xf>
    <xf numFmtId="0" fontId="92" fillId="0" borderId="0" xfId="0" applyFont="1" applyAlignment="1">
      <alignment/>
    </xf>
    <xf numFmtId="10" fontId="78" fillId="0" borderId="0" xfId="58" applyNumberFormat="1" applyFont="1" applyAlignment="1">
      <alignment/>
    </xf>
    <xf numFmtId="0" fontId="35" fillId="0" borderId="54" xfId="0" applyFont="1" applyBorder="1" applyAlignment="1">
      <alignment/>
    </xf>
    <xf numFmtId="0" fontId="20" fillId="20" borderId="0" xfId="0" applyFont="1" applyFill="1" applyAlignment="1">
      <alignment horizontal="right"/>
    </xf>
    <xf numFmtId="6" fontId="93" fillId="0" borderId="28" xfId="0" applyNumberFormat="1" applyFont="1" applyBorder="1" applyAlignment="1">
      <alignment/>
    </xf>
    <xf numFmtId="9" fontId="87" fillId="0" borderId="0" xfId="58" applyNumberFormat="1" applyFont="1" applyAlignment="1">
      <alignment/>
    </xf>
    <xf numFmtId="10" fontId="21" fillId="22" borderId="0" xfId="58" applyNumberFormat="1" applyFont="1" applyFill="1" applyAlignment="1">
      <alignment/>
    </xf>
    <xf numFmtId="166" fontId="21" fillId="26" borderId="0" xfId="58" applyNumberFormat="1" applyFont="1" applyFill="1" applyAlignment="1">
      <alignment/>
    </xf>
    <xf numFmtId="0" fontId="29" fillId="0" borderId="0" xfId="0" applyFont="1" applyAlignment="1">
      <alignment horizontal="center"/>
    </xf>
    <xf numFmtId="0" fontId="62" fillId="0" borderId="20" xfId="0" applyFont="1" applyBorder="1" applyAlignment="1">
      <alignment/>
    </xf>
    <xf numFmtId="0" fontId="29" fillId="0" borderId="52" xfId="0" applyFont="1" applyBorder="1" applyAlignment="1">
      <alignment horizontal="right"/>
    </xf>
    <xf numFmtId="168" fontId="0" fillId="0" borderId="0" xfId="45" applyNumberFormat="1" applyFont="1" applyAlignment="1">
      <alignment/>
    </xf>
    <xf numFmtId="3" fontId="36" fillId="24" borderId="52" xfId="55" applyNumberFormat="1" applyFont="1" applyFill="1" applyBorder="1" applyAlignment="1">
      <alignment horizontal="right" vertical="top" readingOrder="1"/>
      <protection/>
    </xf>
    <xf numFmtId="6" fontId="0" fillId="0" borderId="0" xfId="0" applyNumberFormat="1" applyBorder="1" applyAlignment="1">
      <alignment/>
    </xf>
    <xf numFmtId="10" fontId="55" fillId="0" borderId="0" xfId="58" applyNumberFormat="1" applyFont="1" applyBorder="1" applyAlignment="1">
      <alignment/>
    </xf>
    <xf numFmtId="168" fontId="0" fillId="0" borderId="0" xfId="0" applyNumberFormat="1" applyAlignment="1">
      <alignment/>
    </xf>
    <xf numFmtId="168" fontId="94" fillId="0" borderId="31" xfId="45" applyNumberFormat="1" applyFont="1" applyFill="1" applyBorder="1" applyAlignment="1">
      <alignment/>
    </xf>
    <xf numFmtId="10" fontId="95" fillId="0" borderId="0" xfId="58" applyNumberFormat="1" applyFont="1" applyAlignment="1">
      <alignment/>
    </xf>
    <xf numFmtId="3" fontId="33" fillId="42" borderId="54" xfId="0" applyNumberFormat="1" applyFont="1" applyFill="1" applyBorder="1" applyAlignment="1">
      <alignment horizontal="left" wrapText="1"/>
    </xf>
    <xf numFmtId="3" fontId="0" fillId="42" borderId="17" xfId="0" applyNumberFormat="1" applyFont="1" applyFill="1" applyBorder="1" applyAlignment="1">
      <alignment horizontal="center" wrapText="1"/>
    </xf>
    <xf numFmtId="0" fontId="42" fillId="43" borderId="36" xfId="0" applyFont="1" applyFill="1" applyBorder="1" applyAlignment="1">
      <alignment horizontal="center"/>
    </xf>
    <xf numFmtId="3" fontId="71" fillId="44" borderId="62" xfId="0" applyNumberFormat="1" applyFont="1" applyFill="1" applyBorder="1" applyAlignment="1">
      <alignment horizontal="center" wrapText="1"/>
    </xf>
    <xf numFmtId="6" fontId="0" fillId="43" borderId="36" xfId="0" applyNumberFormat="1" applyFill="1" applyBorder="1" applyAlignment="1">
      <alignment/>
    </xf>
    <xf numFmtId="0" fontId="0" fillId="43" borderId="36" xfId="0" applyFill="1" applyBorder="1" applyAlignment="1">
      <alignment/>
    </xf>
    <xf numFmtId="6" fontId="33" fillId="43" borderId="36" xfId="0" applyNumberFormat="1" applyFont="1" applyFill="1" applyBorder="1" applyAlignment="1">
      <alignment/>
    </xf>
    <xf numFmtId="0" fontId="0" fillId="43" borderId="37" xfId="0" applyFill="1" applyBorder="1" applyAlignment="1">
      <alignment/>
    </xf>
    <xf numFmtId="3" fontId="0" fillId="11" borderId="13" xfId="0" applyNumberFormat="1" applyFill="1" applyBorder="1" applyAlignment="1">
      <alignment horizontal="left" wrapText="1"/>
    </xf>
    <xf numFmtId="3" fontId="21" fillId="11" borderId="42" xfId="0" applyNumberFormat="1" applyFont="1" applyFill="1" applyBorder="1" applyAlignment="1">
      <alignment horizontal="center" wrapText="1"/>
    </xf>
    <xf numFmtId="3" fontId="21" fillId="11" borderId="40" xfId="0" applyNumberFormat="1" applyFont="1" applyFill="1" applyBorder="1" applyAlignment="1">
      <alignment horizontal="center" wrapText="1"/>
    </xf>
    <xf numFmtId="3" fontId="71" fillId="11" borderId="40" xfId="0" applyNumberFormat="1" applyFont="1" applyFill="1" applyBorder="1" applyAlignment="1">
      <alignment horizontal="center" wrapText="1"/>
    </xf>
    <xf numFmtId="165" fontId="21" fillId="0" borderId="40" xfId="0" applyNumberFormat="1" applyFont="1" applyBorder="1" applyAlignment="1">
      <alignment horizontal="center"/>
    </xf>
    <xf numFmtId="10" fontId="21" fillId="11" borderId="41" xfId="0" applyNumberFormat="1" applyFont="1" applyFill="1" applyBorder="1" applyAlignment="1">
      <alignment horizontal="center" wrapText="1"/>
    </xf>
    <xf numFmtId="3" fontId="22" fillId="24" borderId="12" xfId="0" applyNumberFormat="1" applyFont="1" applyFill="1" applyBorder="1" applyAlignment="1">
      <alignment horizontal="center" wrapText="1"/>
    </xf>
    <xf numFmtId="0" fontId="19" fillId="37" borderId="19" xfId="0" applyFont="1" applyFill="1" applyBorder="1" applyAlignment="1">
      <alignment horizontal="center" wrapText="1"/>
    </xf>
    <xf numFmtId="0" fontId="19" fillId="37" borderId="63" xfId="0" applyFont="1" applyFill="1" applyBorder="1" applyAlignment="1">
      <alignment horizontal="center" wrapText="1"/>
    </xf>
    <xf numFmtId="0" fontId="0" fillId="0" borderId="21" xfId="0" applyBorder="1" applyAlignment="1">
      <alignment horizontal="center"/>
    </xf>
    <xf numFmtId="0" fontId="65" fillId="35" borderId="12" xfId="56" applyFont="1" applyFill="1" applyBorder="1" applyAlignment="1">
      <alignment horizontal="center" wrapText="1"/>
      <protection/>
    </xf>
    <xf numFmtId="0" fontId="65" fillId="0" borderId="0" xfId="56" applyFont="1" applyFill="1" applyBorder="1" applyAlignment="1">
      <alignment horizontal="center" vertical="top"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_FSE-Leonardo MOVILIDAD" xfId="46"/>
    <cellStyle name="Hyperlink" xfId="47"/>
    <cellStyle name="Followed Hyperlink" xfId="48"/>
    <cellStyle name="Incorrecto" xfId="49"/>
    <cellStyle name="Comma" xfId="50"/>
    <cellStyle name="Comma [0]" xfId="51"/>
    <cellStyle name="Currency" xfId="52"/>
    <cellStyle name="Currency [0]" xfId="53"/>
    <cellStyle name="Neutral" xfId="54"/>
    <cellStyle name="Normal_Draft-Template071115" xfId="55"/>
    <cellStyle name="Normal_FSE-Leonardo MOVILIDAD" xfId="56"/>
    <cellStyle name="Notas" xfId="57"/>
    <cellStyle name="Percent" xfId="58"/>
    <cellStyle name="Porcentual_FSE-Leonardo MOVILIDAD" xfId="59"/>
    <cellStyle name="Salida" xfId="60"/>
    <cellStyle name="Texto de advertencia" xfId="61"/>
    <cellStyle name="Texto explicativo" xfId="62"/>
    <cellStyle name="Título" xfId="63"/>
    <cellStyle name="Título 1" xfId="64"/>
    <cellStyle name="Título 2" xfId="65"/>
    <cellStyle name="Título 3" xfId="66"/>
    <cellStyle name="Total"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CC"/>
      <rgbColor rgb="00000080"/>
      <rgbColor rgb="00FF00FF"/>
      <rgbColor rgb="00FFFF00"/>
      <rgbColor rgb="0000CCCC"/>
      <rgbColor rgb="00800080"/>
      <rgbColor rgb="00800000"/>
      <rgbColor rgb="00008080"/>
      <rgbColor rgb="002323DC"/>
      <rgbColor rgb="0000CCFF"/>
      <rgbColor rgb="00E3E3E3"/>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pie3DChart>
        <c:varyColors val="1"/>
        <c:ser>
          <c:idx val="0"/>
          <c:order val="0"/>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FF6600"/>
              </a:solidFill>
            </c:spPr>
          </c:dPt>
          <c:dPt>
            <c:idx val="1"/>
            <c:spPr>
              <a:solidFill>
                <a:srgbClr val="FF0000"/>
              </a:solidFill>
            </c:spPr>
          </c:dPt>
          <c:dPt>
            <c:idx val="2"/>
            <c:spPr>
              <a:solidFill>
                <a:srgbClr val="339966"/>
              </a:solidFill>
            </c:spPr>
          </c:dPt>
          <c:dPt>
            <c:idx val="5"/>
            <c:spPr>
              <a:solidFill>
                <a:srgbClr val="33CCCC"/>
              </a:solidFill>
            </c:spPr>
          </c:dPt>
          <c:dLbls>
            <c:dLbl>
              <c:idx val="0"/>
              <c:layout>
                <c:manualLayout>
                  <c:x val="0"/>
                  <c:y val="0"/>
                </c:manualLayout>
              </c:layout>
              <c:numFmt formatCode="0.00%" sourceLinked="0"/>
              <c:showLegendKey val="0"/>
              <c:showVal val="0"/>
              <c:showBubbleSize val="0"/>
              <c:showCatName val="0"/>
              <c:showSerName val="0"/>
              <c:showPercent val="1"/>
            </c:dLbl>
            <c:dLbl>
              <c:idx val="1"/>
              <c:numFmt formatCode="0.00%" sourceLinked="0"/>
              <c:spPr>
                <a:noFill/>
                <a:ln>
                  <a:noFill/>
                </a:ln>
              </c:spPr>
              <c:showLegendKey val="0"/>
              <c:showVal val="0"/>
              <c:showBubbleSize val="0"/>
              <c:showCatName val="0"/>
              <c:showSerName val="0"/>
              <c:showPercent val="1"/>
            </c:dLbl>
            <c:dLbl>
              <c:idx val="2"/>
              <c:numFmt formatCode="0.00%" sourceLinked="0"/>
              <c:spPr>
                <a:noFill/>
                <a:ln>
                  <a:noFill/>
                </a:ln>
              </c:spPr>
              <c:showLegendKey val="0"/>
              <c:showVal val="0"/>
              <c:showBubbleSize val="0"/>
              <c:showCatName val="0"/>
              <c:showSerName val="0"/>
              <c:showPercent val="1"/>
            </c:dLbl>
            <c:dLbl>
              <c:idx val="3"/>
              <c:layout>
                <c:manualLayout>
                  <c:x val="0"/>
                  <c:y val="0"/>
                </c:manualLayout>
              </c:layout>
              <c:numFmt formatCode="0.00%" sourceLinked="0"/>
              <c:showLegendKey val="0"/>
              <c:showVal val="0"/>
              <c:showBubbleSize val="0"/>
              <c:showCatName val="0"/>
              <c:showSerName val="0"/>
              <c:showPercent val="1"/>
            </c:dLbl>
            <c:dLbl>
              <c:idx val="4"/>
              <c:layout>
                <c:manualLayout>
                  <c:x val="0"/>
                  <c:y val="0"/>
                </c:manualLayout>
              </c:layout>
              <c:numFmt formatCode="0.00%" sourceLinked="0"/>
              <c:showLegendKey val="0"/>
              <c:showVal val="0"/>
              <c:showBubbleSize val="0"/>
              <c:showCatName val="0"/>
              <c:showSerName val="0"/>
              <c:showPercent val="1"/>
            </c:dLbl>
            <c:dLbl>
              <c:idx val="5"/>
              <c:layout>
                <c:manualLayout>
                  <c:x val="0"/>
                  <c:y val="0"/>
                </c:manualLayout>
              </c:layout>
              <c:numFmt formatCode="0.00%" sourceLinked="0"/>
              <c:showLegendKey val="0"/>
              <c:showVal val="0"/>
              <c:showBubbleSize val="0"/>
              <c:showCatName val="0"/>
              <c:showSerName val="0"/>
              <c:showPercent val="1"/>
            </c:dLbl>
            <c:dLbl>
              <c:idx val="6"/>
              <c:layout>
                <c:manualLayout>
                  <c:x val="0"/>
                  <c:y val="0"/>
                </c:manualLayout>
              </c:layout>
              <c:numFmt formatCode="0.00%" sourceLinked="0"/>
              <c:showLegendKey val="0"/>
              <c:showVal val="0"/>
              <c:showBubbleSize val="0"/>
              <c:showCatName val="0"/>
              <c:showSerName val="0"/>
              <c:showPercent val="1"/>
            </c:dLbl>
            <c:dLbl>
              <c:idx val="7"/>
              <c:layout>
                <c:manualLayout>
                  <c:x val="0"/>
                  <c:y val="0"/>
                </c:manualLayout>
              </c:layout>
              <c:numFmt formatCode="0.00%" sourceLinked="0"/>
              <c:showLegendKey val="0"/>
              <c:showVal val="0"/>
              <c:showBubbleSize val="0"/>
              <c:showCatName val="0"/>
              <c:showSerName val="0"/>
              <c:showPercent val="1"/>
            </c:dLbl>
            <c:dLbl>
              <c:idx val="8"/>
              <c:layout>
                <c:manualLayout>
                  <c:x val="0"/>
                  <c:y val="0"/>
                </c:manualLayout>
              </c:layout>
              <c:numFmt formatCode="0.00%" sourceLinked="0"/>
              <c:showLegendKey val="0"/>
              <c:showVal val="0"/>
              <c:showBubbleSize val="0"/>
              <c:showCatName val="0"/>
              <c:showSerName val="0"/>
              <c:showPercent val="1"/>
            </c:dLbl>
            <c:numFmt formatCode="0.00%" sourceLinked="0"/>
            <c:spPr>
              <a:noFill/>
              <a:ln>
                <a:noFill/>
              </a:ln>
            </c:spPr>
            <c:showLegendKey val="0"/>
            <c:showVal val="0"/>
            <c:showBubbleSize val="0"/>
            <c:showCatName val="0"/>
            <c:showSerName val="0"/>
            <c:showLeaderLines val="1"/>
            <c:showPercent val="1"/>
          </c:dLbls>
          <c:cat>
            <c:strRef>
              <c:f>(FSE!$B$5,FSE!$B$22,FSE!$B$24,FSE!$B$29,FSE!$B$76,FSE!$B$96,FSE!$B$118,FSE!$B$131,FSE!$B$144)</c:f>
              <c:strCache/>
            </c:strRef>
          </c:cat>
          <c:val>
            <c:numRef>
              <c:f>(FSE!$H$5,FSE!$H$22,FSE!$H$24,FSE!$H$29,FSE!$H$76,FSE!$H$96,FSE!$H$118,FSE!$H$131,FSE!$H$144)</c:f>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175</xdr:row>
      <xdr:rowOff>19050</xdr:rowOff>
    </xdr:from>
    <xdr:to>
      <xdr:col>7</xdr:col>
      <xdr:colOff>981075</xdr:colOff>
      <xdr:row>175</xdr:row>
      <xdr:rowOff>19050</xdr:rowOff>
    </xdr:to>
    <xdr:sp>
      <xdr:nvSpPr>
        <xdr:cNvPr id="1" name="Line 29"/>
        <xdr:cNvSpPr>
          <a:spLocks/>
        </xdr:cNvSpPr>
      </xdr:nvSpPr>
      <xdr:spPr>
        <a:xfrm>
          <a:off x="247650" y="16230600"/>
          <a:ext cx="14135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176</xdr:row>
      <xdr:rowOff>76200</xdr:rowOff>
    </xdr:from>
    <xdr:to>
      <xdr:col>4</xdr:col>
      <xdr:colOff>419100</xdr:colOff>
      <xdr:row>206</xdr:row>
      <xdr:rowOff>0</xdr:rowOff>
    </xdr:to>
    <xdr:graphicFrame>
      <xdr:nvGraphicFramePr>
        <xdr:cNvPr id="2" name="Chart 174"/>
        <xdr:cNvGraphicFramePr/>
      </xdr:nvGraphicFramePr>
      <xdr:xfrm>
        <a:off x="228600" y="16449675"/>
        <a:ext cx="8143875"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75</xdr:row>
      <xdr:rowOff>9525</xdr:rowOff>
    </xdr:from>
    <xdr:to>
      <xdr:col>23</xdr:col>
      <xdr:colOff>28575</xdr:colOff>
      <xdr:row>87</xdr:row>
      <xdr:rowOff>95250</xdr:rowOff>
    </xdr:to>
    <xdr:sp>
      <xdr:nvSpPr>
        <xdr:cNvPr id="1" name="TextBox 753"/>
        <xdr:cNvSpPr txBox="1">
          <a:spLocks noChangeArrowheads="1"/>
        </xdr:cNvSpPr>
      </xdr:nvSpPr>
      <xdr:spPr>
        <a:xfrm>
          <a:off x="6524625" y="12087225"/>
          <a:ext cx="6591300" cy="2057400"/>
        </a:xfrm>
        <a:prstGeom prst="rect">
          <a:avLst/>
        </a:prstGeom>
        <a:solidFill>
          <a:srgbClr val="FFFFFF"/>
        </a:solidFill>
        <a:ln w="9525" cmpd="sng">
          <a:solidFill>
            <a:srgbClr val="FF00FF"/>
          </a:solidFill>
          <a:headEnd type="none"/>
          <a:tailEnd type="none"/>
        </a:ln>
      </xdr:spPr>
      <xdr:txBody>
        <a:bodyPr vertOverflow="clip" wrap="square"/>
        <a:p>
          <a:pPr algn="l">
            <a:defRPr/>
          </a:pPr>
          <a:r>
            <a:rPr lang="en-US" cap="none" sz="1000" b="0" i="0" u="none" baseline="0">
              <a:latin typeface="Arial"/>
              <a:ea typeface="Arial"/>
              <a:cs typeface="Arial"/>
            </a:rPr>
            <a:t>NOTA METODOLÓGICA: 
Apenas se han conseguido datos de las políticas activas de empleo en Almería.
Sólo se han conseguido algunas memorias del SAE. Y entre éstas, únicamente se ha podido acceder coincidentemente en niveles regional y provincial a los datos del año 2007. Por eso se ha tomado este año como base. 
Se han analizado los distintos programas, estimando la cofinanciación europea del FSE en cada uno. 
Se ha consultado a técnicos del SAE sobre los resultados que arrojaban los datos, el método, y las aproximaciones razonadas a las que proporcionalmente se llegaba para todo el periodo 2000-2009.
Del INEM y SPEE no se han conseguido datos provinciales, tras consulta con el organismo.
Los datos que se conocían a nivel regional y que no estaban provincializados se han estimado mediante la proporción de población activa de la Provincia de Almería en el año 2007 respecto de la de Andalucía. De igual modo a nivel nacional.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AS-DEFINITIVAS-CD\FFEUR-ALMERIA-global-MARZO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BLAS-DEFINITIVAS-CD\FFEUR-ALMERIA-glob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FEUR-enero2011"/>
      <sheetName val="Gráfico1"/>
    </sheetNames>
    <sheetDataSet>
      <sheetData sheetId="0">
        <row r="34">
          <cell r="G34">
            <v>2146.727188255427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FEUR-2000-2009"/>
      <sheetName val="Gráfico1"/>
    </sheetNames>
    <sheetDataSet>
      <sheetData sheetId="0">
        <row r="34">
          <cell r="G34">
            <v>2147.559994705427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C@L_Tecnolog&#237;as%20de%20la%20Informaci&#243;n%20y%20Comunicaci&#243;n%20en%20el%20Almanzor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S161"/>
  <sheetViews>
    <sheetView zoomScale="62" zoomScaleNormal="62" workbookViewId="0" topLeftCell="A130">
      <selection activeCell="D76" sqref="D76"/>
    </sheetView>
  </sheetViews>
  <sheetFormatPr defaultColWidth="11.421875" defaultRowHeight="12.75" outlineLevelRow="3" outlineLevelCol="1"/>
  <cols>
    <col min="1" max="1" width="3.00390625" style="0" customWidth="1"/>
    <col min="2" max="2" width="68.00390625" style="0" customWidth="1"/>
    <col min="3" max="3" width="13.57421875" style="0" customWidth="1"/>
    <col min="4" max="4" width="34.7109375" style="0" customWidth="1"/>
    <col min="5" max="5" width="44.28125" style="0" customWidth="1"/>
    <col min="6" max="6" width="16.57421875" style="0" customWidth="1"/>
    <col min="7" max="7" width="20.8515625" style="0" customWidth="1" outlineLevel="1"/>
    <col min="8" max="8" width="19.57421875" style="0" customWidth="1"/>
    <col min="9" max="9" width="9.7109375" style="0" customWidth="1"/>
    <col min="10" max="10" width="2.7109375" style="238" customWidth="1"/>
    <col min="11" max="11" width="1.7109375" style="0" hidden="1" customWidth="1"/>
    <col min="12" max="12" width="11.140625" style="0" customWidth="1"/>
    <col min="13" max="13" width="1.57421875" style="0" customWidth="1"/>
    <col min="14" max="14" width="19.57421875" style="0" customWidth="1"/>
    <col min="15" max="15" width="3.00390625" style="0" customWidth="1"/>
    <col min="16" max="16" width="11.57421875" style="0" customWidth="1"/>
    <col min="17" max="17" width="24.28125" style="53" customWidth="1"/>
    <col min="18" max="18" width="8.28125" style="0" customWidth="1"/>
    <col min="19" max="19" width="14.140625" style="0" bestFit="1" customWidth="1"/>
  </cols>
  <sheetData>
    <row r="1" ht="12.75">
      <c r="A1" s="1" t="s">
        <v>0</v>
      </c>
    </row>
    <row r="2" spans="2:9" ht="31.5" customHeight="1">
      <c r="B2" s="576" t="s">
        <v>1</v>
      </c>
      <c r="C2" s="577"/>
      <c r="D2" s="577"/>
      <c r="E2" s="577"/>
      <c r="F2" s="577"/>
      <c r="G2" s="323"/>
      <c r="H2" s="324"/>
      <c r="I2" s="325"/>
    </row>
    <row r="3" spans="2:10" ht="27.75" customHeight="1">
      <c r="B3" s="512" t="s">
        <v>2</v>
      </c>
      <c r="C3" s="512" t="s">
        <v>3</v>
      </c>
      <c r="D3" s="512" t="s">
        <v>4</v>
      </c>
      <c r="E3" s="512" t="s">
        <v>5</v>
      </c>
      <c r="F3" s="512" t="s">
        <v>6</v>
      </c>
      <c r="G3" s="512" t="s">
        <v>292</v>
      </c>
      <c r="H3" s="512" t="s">
        <v>7</v>
      </c>
      <c r="I3" s="512" t="s">
        <v>293</v>
      </c>
      <c r="J3" s="239"/>
    </row>
    <row r="4" ht="5.25" customHeight="1">
      <c r="I4" s="53"/>
    </row>
    <row r="5" spans="2:12" ht="18.75" thickBot="1">
      <c r="B5" s="561" t="s">
        <v>61</v>
      </c>
      <c r="C5" s="562" t="s">
        <v>127</v>
      </c>
      <c r="D5" s="563" t="s">
        <v>307</v>
      </c>
      <c r="E5" s="564" t="s">
        <v>290</v>
      </c>
      <c r="F5" s="565"/>
      <c r="G5" s="566"/>
      <c r="H5" s="567">
        <f>G6+G16</f>
        <v>6967525</v>
      </c>
      <c r="I5" s="568"/>
      <c r="J5" s="14"/>
      <c r="L5" s="385">
        <f>H5/$H$160</f>
        <v>0.02263691424830076</v>
      </c>
    </row>
    <row r="6" spans="2:13" ht="32.25" outlineLevel="1" thickBot="1">
      <c r="B6" s="570" t="s">
        <v>61</v>
      </c>
      <c r="C6" s="571" t="s">
        <v>105</v>
      </c>
      <c r="D6" s="517" t="s">
        <v>106</v>
      </c>
      <c r="E6" s="572" t="s">
        <v>91</v>
      </c>
      <c r="F6" s="573">
        <f>SUM(F7:F14)</f>
        <v>7217637</v>
      </c>
      <c r="G6" s="519">
        <f>SUM(G7:G14)</f>
        <v>5051842</v>
      </c>
      <c r="H6" s="519"/>
      <c r="I6" s="574">
        <f aca="true" t="shared" si="0" ref="I6:I14">G6/F6</f>
        <v>0.6999301849067776</v>
      </c>
      <c r="J6" s="43"/>
      <c r="L6" s="387"/>
      <c r="M6" s="53"/>
    </row>
    <row r="7" spans="2:15" ht="18" outlineLevel="1">
      <c r="B7" s="569" t="s">
        <v>283</v>
      </c>
      <c r="C7" s="23">
        <v>2001</v>
      </c>
      <c r="D7" s="304" t="s">
        <v>107</v>
      </c>
      <c r="E7" s="304" t="s">
        <v>91</v>
      </c>
      <c r="F7" s="24">
        <v>913576</v>
      </c>
      <c r="G7" s="24">
        <v>639000</v>
      </c>
      <c r="H7" s="25"/>
      <c r="I7" s="262">
        <f t="shared" si="0"/>
        <v>0.6994491974395124</v>
      </c>
      <c r="L7" s="387"/>
      <c r="M7" s="53"/>
      <c r="O7" s="40" t="s">
        <v>64</v>
      </c>
    </row>
    <row r="8" spans="2:13" ht="18" outlineLevel="1">
      <c r="B8" s="256" t="s">
        <v>325</v>
      </c>
      <c r="C8" s="20">
        <v>2003</v>
      </c>
      <c r="D8" s="305" t="s">
        <v>107</v>
      </c>
      <c r="E8" s="305" t="s">
        <v>91</v>
      </c>
      <c r="F8" s="21">
        <v>766822</v>
      </c>
      <c r="G8" s="21">
        <v>536775</v>
      </c>
      <c r="H8" s="22"/>
      <c r="I8" s="19">
        <f t="shared" si="0"/>
        <v>0.6999994783665571</v>
      </c>
      <c r="J8" s="39"/>
      <c r="L8" s="388"/>
      <c r="M8" s="53"/>
    </row>
    <row r="9" spans="2:13" ht="18" outlineLevel="1">
      <c r="B9" s="342" t="s">
        <v>108</v>
      </c>
      <c r="C9" s="343">
        <v>2003</v>
      </c>
      <c r="D9" s="305" t="s">
        <v>60</v>
      </c>
      <c r="E9" s="305" t="s">
        <v>91</v>
      </c>
      <c r="F9" s="344">
        <v>143071</v>
      </c>
      <c r="G9" s="344">
        <v>100150</v>
      </c>
      <c r="H9" s="345"/>
      <c r="I9" s="346">
        <f t="shared" si="0"/>
        <v>0.7000020968609991</v>
      </c>
      <c r="J9" s="39"/>
      <c r="L9" s="388"/>
      <c r="M9" s="53"/>
    </row>
    <row r="10" spans="2:13" ht="18" outlineLevel="1">
      <c r="B10" s="32" t="s">
        <v>109</v>
      </c>
      <c r="C10" s="20">
        <v>2003</v>
      </c>
      <c r="D10" s="305" t="s">
        <v>40</v>
      </c>
      <c r="E10" s="305" t="s">
        <v>91</v>
      </c>
      <c r="F10" s="21">
        <v>2595711</v>
      </c>
      <c r="G10" s="21">
        <v>1816998</v>
      </c>
      <c r="H10" s="22"/>
      <c r="I10" s="19">
        <f t="shared" si="0"/>
        <v>0.7000001155752701</v>
      </c>
      <c r="J10" s="39"/>
      <c r="L10" s="388"/>
      <c r="M10" s="53"/>
    </row>
    <row r="11" spans="2:13" ht="18" outlineLevel="1">
      <c r="B11" s="32" t="s">
        <v>110</v>
      </c>
      <c r="C11" s="20">
        <v>2003</v>
      </c>
      <c r="D11" s="305" t="s">
        <v>111</v>
      </c>
      <c r="E11" s="305" t="s">
        <v>91</v>
      </c>
      <c r="F11" s="21">
        <v>392612</v>
      </c>
      <c r="G11" s="21">
        <v>274828</v>
      </c>
      <c r="H11" s="22"/>
      <c r="I11" s="19">
        <f t="shared" si="0"/>
        <v>0.6999989811824396</v>
      </c>
      <c r="J11" s="39"/>
      <c r="L11" s="388"/>
      <c r="M11" s="53"/>
    </row>
    <row r="12" spans="2:13" ht="18" outlineLevel="1">
      <c r="B12" s="32" t="s">
        <v>112</v>
      </c>
      <c r="C12" s="20">
        <v>2005</v>
      </c>
      <c r="D12" s="305" t="s">
        <v>113</v>
      </c>
      <c r="E12" s="305" t="s">
        <v>91</v>
      </c>
      <c r="F12" s="21">
        <v>150583</v>
      </c>
      <c r="G12" s="21">
        <v>105408</v>
      </c>
      <c r="H12" s="22"/>
      <c r="I12" s="19">
        <f t="shared" si="0"/>
        <v>0.6999993359144127</v>
      </c>
      <c r="J12" s="39"/>
      <c r="L12" s="388"/>
      <c r="M12" s="53"/>
    </row>
    <row r="13" spans="2:13" ht="16.5" customHeight="1" outlineLevel="1">
      <c r="B13" s="32" t="s">
        <v>114</v>
      </c>
      <c r="C13" s="20">
        <v>2005</v>
      </c>
      <c r="D13" s="305" t="s">
        <v>40</v>
      </c>
      <c r="E13" s="305" t="s">
        <v>91</v>
      </c>
      <c r="F13" s="21">
        <v>1146135</v>
      </c>
      <c r="G13" s="21">
        <v>802295</v>
      </c>
      <c r="H13" s="22"/>
      <c r="I13" s="19">
        <f t="shared" si="0"/>
        <v>0.7000004362487839</v>
      </c>
      <c r="J13" s="39"/>
      <c r="L13" s="388"/>
      <c r="M13" s="53"/>
    </row>
    <row r="14" spans="2:13" ht="18" outlineLevel="1">
      <c r="B14" s="256" t="s">
        <v>326</v>
      </c>
      <c r="C14" s="20">
        <v>2005</v>
      </c>
      <c r="D14" s="305" t="s">
        <v>107</v>
      </c>
      <c r="E14" s="305" t="s">
        <v>91</v>
      </c>
      <c r="F14" s="21">
        <v>1109127</v>
      </c>
      <c r="G14" s="21">
        <v>776388</v>
      </c>
      <c r="H14" s="22"/>
      <c r="I14" s="19">
        <f t="shared" si="0"/>
        <v>0.6999991885509955</v>
      </c>
      <c r="J14" s="39"/>
      <c r="L14" s="388"/>
      <c r="M14" s="53"/>
    </row>
    <row r="15" spans="4:13" ht="8.25" customHeight="1" outlineLevel="1" thickBot="1">
      <c r="D15" s="192"/>
      <c r="E15" s="192"/>
      <c r="G15" s="53"/>
      <c r="L15" s="388"/>
      <c r="M15" s="53"/>
    </row>
    <row r="16" spans="2:13" ht="31.5" customHeight="1" outlineLevel="1" thickBot="1">
      <c r="B16" s="570" t="s">
        <v>61</v>
      </c>
      <c r="C16" s="571" t="s">
        <v>122</v>
      </c>
      <c r="D16" s="517" t="s">
        <v>106</v>
      </c>
      <c r="E16" s="572" t="s">
        <v>91</v>
      </c>
      <c r="F16" s="573">
        <f>SUM(F17:F20)</f>
        <v>2394604</v>
      </c>
      <c r="G16" s="519">
        <f>SUM(G17:G20)</f>
        <v>1915683</v>
      </c>
      <c r="H16" s="519"/>
      <c r="I16" s="574"/>
      <c r="J16" s="43"/>
      <c r="L16" s="388"/>
      <c r="M16" s="53"/>
    </row>
    <row r="17" spans="2:13" ht="18" outlineLevel="1">
      <c r="B17" s="33" t="s">
        <v>115</v>
      </c>
      <c r="C17" s="23">
        <v>2007</v>
      </c>
      <c r="D17" s="304" t="s">
        <v>107</v>
      </c>
      <c r="E17" s="304" t="s">
        <v>91</v>
      </c>
      <c r="F17" s="24">
        <v>572442</v>
      </c>
      <c r="G17" s="24">
        <v>457953</v>
      </c>
      <c r="H17" s="25"/>
      <c r="I17" s="262">
        <f>G17/F17</f>
        <v>0.7999989518588783</v>
      </c>
      <c r="J17" s="39"/>
      <c r="L17" s="388"/>
      <c r="M17" s="53"/>
    </row>
    <row r="18" spans="2:13" ht="18" outlineLevel="1">
      <c r="B18" s="32" t="s">
        <v>116</v>
      </c>
      <c r="C18" s="20">
        <v>2007</v>
      </c>
      <c r="D18" s="305" t="s">
        <v>40</v>
      </c>
      <c r="E18" s="305" t="s">
        <v>62</v>
      </c>
      <c r="F18" s="21">
        <v>1498665</v>
      </c>
      <c r="G18" s="21">
        <v>1198932</v>
      </c>
      <c r="H18" s="22"/>
      <c r="I18" s="19">
        <f>G18/F18</f>
        <v>0.8</v>
      </c>
      <c r="J18" s="39"/>
      <c r="L18" s="388"/>
      <c r="M18" s="53"/>
    </row>
    <row r="19" spans="2:13" ht="18" outlineLevel="1">
      <c r="B19" s="342" t="s">
        <v>117</v>
      </c>
      <c r="C19" s="343">
        <v>2007</v>
      </c>
      <c r="D19" s="305" t="s">
        <v>95</v>
      </c>
      <c r="E19" s="305"/>
      <c r="F19" s="352">
        <v>133046</v>
      </c>
      <c r="G19" s="344">
        <v>106437</v>
      </c>
      <c r="H19" s="345"/>
      <c r="I19" s="346">
        <f>G19/F19</f>
        <v>0.800001503239481</v>
      </c>
      <c r="J19" s="39"/>
      <c r="L19" s="388"/>
      <c r="M19" s="53"/>
    </row>
    <row r="20" spans="2:13" ht="18" outlineLevel="1">
      <c r="B20" s="347" t="s">
        <v>118</v>
      </c>
      <c r="C20" s="348">
        <v>2007</v>
      </c>
      <c r="D20" s="305" t="s">
        <v>113</v>
      </c>
      <c r="E20" s="305"/>
      <c r="F20" s="352">
        <v>190451</v>
      </c>
      <c r="G20" s="344">
        <v>152361</v>
      </c>
      <c r="H20" s="345"/>
      <c r="I20" s="346">
        <f>G20/F20</f>
        <v>0.8000010501388809</v>
      </c>
      <c r="J20" s="39"/>
      <c r="L20" s="388"/>
      <c r="M20" s="53"/>
    </row>
    <row r="21" spans="4:12" ht="18">
      <c r="D21" s="192"/>
      <c r="E21" s="192"/>
      <c r="L21" s="354"/>
    </row>
    <row r="22" spans="2:14" ht="18">
      <c r="B22" s="295" t="s">
        <v>186</v>
      </c>
      <c r="C22" s="296" t="s">
        <v>127</v>
      </c>
      <c r="D22" s="297" t="s">
        <v>303</v>
      </c>
      <c r="E22" s="297" t="s">
        <v>286</v>
      </c>
      <c r="F22" s="298"/>
      <c r="G22" s="299"/>
      <c r="H22" s="300">
        <f>INEM!W32</f>
        <v>95895816.65</v>
      </c>
      <c r="I22" s="301"/>
      <c r="J22" s="14"/>
      <c r="K22" s="2"/>
      <c r="L22" s="385">
        <f>H22/$H$160</f>
        <v>0.3115576016270946</v>
      </c>
      <c r="N22" s="326" t="s">
        <v>400</v>
      </c>
    </row>
    <row r="23" spans="2:17" s="2" customFormat="1" ht="6" customHeight="1">
      <c r="B23" s="3"/>
      <c r="C23" s="3"/>
      <c r="D23" s="306"/>
      <c r="E23" s="306"/>
      <c r="F23" s="3"/>
      <c r="G23" s="3"/>
      <c r="H23" s="3"/>
      <c r="I23" s="5"/>
      <c r="J23" s="39"/>
      <c r="L23" s="389"/>
      <c r="N23" s="327" t="s">
        <v>401</v>
      </c>
      <c r="P23" s="51" t="s">
        <v>379</v>
      </c>
      <c r="Q23" s="268" t="s">
        <v>402</v>
      </c>
    </row>
    <row r="24" spans="2:17" s="2" customFormat="1" ht="18">
      <c r="B24" s="295" t="s">
        <v>186</v>
      </c>
      <c r="C24" s="400" t="s">
        <v>285</v>
      </c>
      <c r="D24" s="401" t="s">
        <v>284</v>
      </c>
      <c r="E24" s="401" t="s">
        <v>286</v>
      </c>
      <c r="F24" s="402">
        <f>SAE!T62</f>
        <v>253743273.79700378</v>
      </c>
      <c r="G24" s="403"/>
      <c r="H24" s="404">
        <f>SAE!W62</f>
        <v>194523833.04460302</v>
      </c>
      <c r="I24" s="405">
        <f>H24/F24</f>
        <v>0.7666167072480641</v>
      </c>
      <c r="J24" s="14"/>
      <c r="L24" s="385">
        <f>H24/$H$160</f>
        <v>0.6319918949528638</v>
      </c>
      <c r="N24" s="511">
        <f>H22+H24</f>
        <v>290419649.694603</v>
      </c>
      <c r="P24" s="510">
        <f>L24+L22</f>
        <v>0.9435494965799585</v>
      </c>
      <c r="Q24" s="509">
        <f>(H22+H24)/('[1]FFEUR-enero2011'!$G$34)/1000000</f>
        <v>0.13528484256568127</v>
      </c>
    </row>
    <row r="25" spans="2:14" s="14" customFormat="1" ht="18" hidden="1" outlineLevel="1">
      <c r="B25" s="398" t="s">
        <v>144</v>
      </c>
      <c r="C25" s="399">
        <f>SAE!X27</f>
        <v>0.18027426156546705</v>
      </c>
      <c r="D25" s="317"/>
      <c r="E25" s="317"/>
      <c r="F25" s="380"/>
      <c r="G25" s="381"/>
      <c r="H25" s="216"/>
      <c r="I25" s="382"/>
      <c r="L25" s="386"/>
      <c r="N25" s="379"/>
    </row>
    <row r="26" spans="2:14" s="14" customFormat="1" ht="18" hidden="1" outlineLevel="1">
      <c r="B26" s="384" t="s">
        <v>328</v>
      </c>
      <c r="C26" s="383">
        <f>SAE!X6</f>
        <v>0.4042234841114323</v>
      </c>
      <c r="D26" s="317"/>
      <c r="E26" s="317"/>
      <c r="F26" s="380"/>
      <c r="G26" s="381"/>
      <c r="H26" s="216"/>
      <c r="I26" s="382"/>
      <c r="L26" s="386"/>
      <c r="N26" s="379"/>
    </row>
    <row r="27" spans="2:14" s="14" customFormat="1" ht="18" hidden="1" outlineLevel="1">
      <c r="B27" s="384" t="s">
        <v>160</v>
      </c>
      <c r="C27" s="383">
        <f>SAE!X52</f>
        <v>0.41550225432310073</v>
      </c>
      <c r="D27" s="317"/>
      <c r="E27" s="317"/>
      <c r="F27" s="380"/>
      <c r="G27" s="381"/>
      <c r="H27" s="216"/>
      <c r="I27" s="382"/>
      <c r="L27" s="386"/>
      <c r="N27" s="379"/>
    </row>
    <row r="28" spans="6:12" ht="18" collapsed="1">
      <c r="F28" s="355"/>
      <c r="I28" s="53"/>
      <c r="L28" s="354"/>
    </row>
    <row r="29" spans="2:12" ht="31.5">
      <c r="B29" s="294" t="s">
        <v>305</v>
      </c>
      <c r="C29" s="291" t="s">
        <v>127</v>
      </c>
      <c r="D29" s="302" t="s">
        <v>302</v>
      </c>
      <c r="E29" s="303" t="s">
        <v>306</v>
      </c>
      <c r="F29" s="356">
        <f>SUM(F30:F44)+F46+F58</f>
        <v>1541714</v>
      </c>
      <c r="G29" s="292" t="s">
        <v>17</v>
      </c>
      <c r="H29" s="293">
        <f>SUM(G30:G44)+G46+G58+G72</f>
        <v>1271253</v>
      </c>
      <c r="I29" s="397">
        <f>H29/F29</f>
        <v>0.8245712239753936</v>
      </c>
      <c r="J29" s="39"/>
      <c r="L29" s="385">
        <f>H29/$H$160</f>
        <v>0.0041301961814123505</v>
      </c>
    </row>
    <row r="30" spans="2:12" ht="18" hidden="1" outlineLevel="1">
      <c r="B30" s="435" t="s">
        <v>8</v>
      </c>
      <c r="C30" s="23">
        <v>2000</v>
      </c>
      <c r="D30" s="304" t="s">
        <v>9</v>
      </c>
      <c r="E30" s="304" t="s">
        <v>10</v>
      </c>
      <c r="F30" s="357">
        <v>15724</v>
      </c>
      <c r="G30" s="24">
        <v>13882</v>
      </c>
      <c r="H30" s="24"/>
      <c r="I30" s="262">
        <f>G30/F30</f>
        <v>0.8828542355634699</v>
      </c>
      <c r="J30" s="39"/>
      <c r="L30" s="354"/>
    </row>
    <row r="31" spans="2:12" ht="18" hidden="1" outlineLevel="1">
      <c r="B31" s="257" t="s">
        <v>11</v>
      </c>
      <c r="C31" s="20">
        <v>2000</v>
      </c>
      <c r="D31" s="305" t="s">
        <v>12</v>
      </c>
      <c r="E31" s="305" t="s">
        <v>13</v>
      </c>
      <c r="F31" s="358">
        <v>176290</v>
      </c>
      <c r="G31" s="21">
        <v>105774</v>
      </c>
      <c r="H31" s="21"/>
      <c r="I31" s="19">
        <f>G31/F31</f>
        <v>0.6</v>
      </c>
      <c r="J31" s="39"/>
      <c r="L31" s="354"/>
    </row>
    <row r="32" spans="2:12" ht="29.25" hidden="1" outlineLevel="1">
      <c r="B32" s="257" t="s">
        <v>14</v>
      </c>
      <c r="C32" s="20">
        <v>2000</v>
      </c>
      <c r="D32" s="305" t="s">
        <v>12</v>
      </c>
      <c r="E32" s="305" t="s">
        <v>15</v>
      </c>
      <c r="F32" s="358">
        <v>96161</v>
      </c>
      <c r="G32" s="21">
        <v>72121</v>
      </c>
      <c r="H32" s="21"/>
      <c r="I32" s="19">
        <f>G32/F32</f>
        <v>0.7500025998065744</v>
      </c>
      <c r="J32" s="39"/>
      <c r="L32" s="354"/>
    </row>
    <row r="33" spans="2:17" s="2" customFormat="1" ht="1.5" customHeight="1" hidden="1" outlineLevel="1" thickBot="1">
      <c r="B33" s="3"/>
      <c r="C33" s="3"/>
      <c r="D33" s="306"/>
      <c r="E33" s="306"/>
      <c r="F33" s="359"/>
      <c r="G33" s="3"/>
      <c r="I33" s="3"/>
      <c r="J33" s="39"/>
      <c r="L33" s="389"/>
      <c r="Q33" s="14"/>
    </row>
    <row r="34" spans="2:12" ht="33" customHeight="1" hidden="1" outlineLevel="1" thickBot="1">
      <c r="B34" s="429" t="s">
        <v>16</v>
      </c>
      <c r="C34" s="17">
        <v>2001</v>
      </c>
      <c r="D34" s="307" t="s">
        <v>296</v>
      </c>
      <c r="E34" s="432" t="s">
        <v>13</v>
      </c>
      <c r="F34" s="433"/>
      <c r="G34" s="422">
        <f>SUM(F35:F36)</f>
        <v>117070</v>
      </c>
      <c r="H34" s="434"/>
      <c r="I34" s="243"/>
      <c r="J34" s="43"/>
      <c r="L34" s="354"/>
    </row>
    <row r="35" spans="2:12" ht="29.25" hidden="1" outlineLevel="2">
      <c r="B35" s="431" t="s">
        <v>18</v>
      </c>
      <c r="C35" s="23">
        <v>2001</v>
      </c>
      <c r="D35" s="304" t="s">
        <v>12</v>
      </c>
      <c r="E35" s="304" t="s">
        <v>13</v>
      </c>
      <c r="F35" s="357">
        <v>42070</v>
      </c>
      <c r="G35" s="23"/>
      <c r="H35" s="23"/>
      <c r="I35" s="262"/>
      <c r="J35" s="39"/>
      <c r="L35" s="354"/>
    </row>
    <row r="36" spans="2:12" ht="18" hidden="1" outlineLevel="2">
      <c r="B36" s="424" t="s">
        <v>19</v>
      </c>
      <c r="C36" s="20">
        <v>2001</v>
      </c>
      <c r="D36" s="305" t="s">
        <v>12</v>
      </c>
      <c r="E36" s="305" t="s">
        <v>13</v>
      </c>
      <c r="F36" s="358">
        <v>75000</v>
      </c>
      <c r="G36" s="20"/>
      <c r="H36" s="20"/>
      <c r="I36" s="19"/>
      <c r="J36" s="39"/>
      <c r="L36" s="354"/>
    </row>
    <row r="37" spans="2:17" s="2" customFormat="1" ht="16.5" customHeight="1" hidden="1" outlineLevel="1" collapsed="1">
      <c r="B37" s="425"/>
      <c r="C37" s="3"/>
      <c r="D37" s="306"/>
      <c r="E37" s="306"/>
      <c r="F37" s="359"/>
      <c r="G37" s="3"/>
      <c r="H37" s="3"/>
      <c r="I37" s="5"/>
      <c r="J37" s="39"/>
      <c r="L37" s="389"/>
      <c r="Q37" s="14"/>
    </row>
    <row r="38" spans="2:12" ht="30.75" hidden="1" outlineLevel="1">
      <c r="B38" s="413" t="s">
        <v>20</v>
      </c>
      <c r="C38" s="20">
        <v>2002</v>
      </c>
      <c r="D38" s="305" t="s">
        <v>297</v>
      </c>
      <c r="E38" s="305" t="s">
        <v>298</v>
      </c>
      <c r="F38" s="358">
        <v>334338</v>
      </c>
      <c r="G38" s="21">
        <v>234036</v>
      </c>
      <c r="H38" s="21"/>
      <c r="I38" s="19">
        <f>G38/F38</f>
        <v>0.6999982054088976</v>
      </c>
      <c r="J38" s="39"/>
      <c r="L38" s="354"/>
    </row>
    <row r="39" spans="2:12" ht="4.5" customHeight="1" hidden="1" outlineLevel="1">
      <c r="B39" s="426"/>
      <c r="C39" s="10"/>
      <c r="D39" s="222"/>
      <c r="E39" s="222"/>
      <c r="F39" s="362"/>
      <c r="G39" s="26"/>
      <c r="I39" s="11"/>
      <c r="J39" s="39"/>
      <c r="L39" s="354"/>
    </row>
    <row r="40" spans="2:12" ht="30.75" hidden="1" outlineLevel="1">
      <c r="B40" s="413" t="s">
        <v>21</v>
      </c>
      <c r="C40" s="20">
        <v>2003</v>
      </c>
      <c r="D40" s="305" t="s">
        <v>22</v>
      </c>
      <c r="E40" s="305" t="s">
        <v>311</v>
      </c>
      <c r="F40" s="358">
        <v>10016</v>
      </c>
      <c r="G40" s="21">
        <v>7512</v>
      </c>
      <c r="H40" s="21"/>
      <c r="I40" s="19">
        <f>G40/F40</f>
        <v>0.75</v>
      </c>
      <c r="J40" s="39"/>
      <c r="L40" s="354"/>
    </row>
    <row r="41" spans="2:17" s="2" customFormat="1" ht="5.25" customHeight="1" hidden="1" outlineLevel="1">
      <c r="B41" s="425"/>
      <c r="C41" s="3"/>
      <c r="D41" s="306"/>
      <c r="E41" s="306"/>
      <c r="F41" s="359"/>
      <c r="G41" s="3"/>
      <c r="H41" s="3"/>
      <c r="I41" s="5"/>
      <c r="J41" s="39"/>
      <c r="L41" s="389"/>
      <c r="Q41" s="14"/>
    </row>
    <row r="42" spans="2:12" ht="18" hidden="1" outlineLevel="1">
      <c r="B42" s="413" t="s">
        <v>23</v>
      </c>
      <c r="C42" s="20">
        <v>2004</v>
      </c>
      <c r="D42" s="305" t="s">
        <v>12</v>
      </c>
      <c r="E42" s="305" t="s">
        <v>24</v>
      </c>
      <c r="F42" s="363"/>
      <c r="G42" s="20"/>
      <c r="H42" s="20"/>
      <c r="I42" s="19" t="s">
        <v>25</v>
      </c>
      <c r="J42" s="39"/>
      <c r="L42" s="354"/>
    </row>
    <row r="43" spans="2:12" ht="34.5" customHeight="1" hidden="1" outlineLevel="1">
      <c r="B43" s="413" t="s">
        <v>26</v>
      </c>
      <c r="C43" s="20">
        <v>2004</v>
      </c>
      <c r="D43" s="305" t="s">
        <v>22</v>
      </c>
      <c r="E43" s="305" t="s">
        <v>311</v>
      </c>
      <c r="F43" s="358">
        <v>33746</v>
      </c>
      <c r="G43" s="21">
        <v>25310</v>
      </c>
      <c r="H43" s="22"/>
      <c r="I43" s="19">
        <f>G43/F43</f>
        <v>0.7500148165708529</v>
      </c>
      <c r="J43" s="39"/>
      <c r="L43" s="354"/>
    </row>
    <row r="44" spans="2:12" ht="18" hidden="1" outlineLevel="1">
      <c r="B44" s="413" t="s">
        <v>27</v>
      </c>
      <c r="C44" s="20">
        <v>2004</v>
      </c>
      <c r="D44" s="305" t="s">
        <v>12</v>
      </c>
      <c r="E44" s="305" t="s">
        <v>298</v>
      </c>
      <c r="F44" s="363"/>
      <c r="G44" s="20"/>
      <c r="H44" s="20"/>
      <c r="I44" s="19" t="s">
        <v>25</v>
      </c>
      <c r="J44" s="39"/>
      <c r="L44" s="354"/>
    </row>
    <row r="45" spans="2:17" s="2" customFormat="1" ht="18.75" hidden="1" outlineLevel="1" thickBot="1">
      <c r="B45" s="3"/>
      <c r="C45" s="3"/>
      <c r="D45" s="306"/>
      <c r="E45" s="306"/>
      <c r="F45" s="359"/>
      <c r="G45" s="3"/>
      <c r="H45" s="3"/>
      <c r="I45" s="5"/>
      <c r="J45" s="39"/>
      <c r="L45" s="389"/>
      <c r="Q45" s="14"/>
    </row>
    <row r="46" spans="2:12" ht="15.75" customHeight="1" hidden="1" outlineLevel="1" thickBot="1">
      <c r="B46" s="430" t="s">
        <v>16</v>
      </c>
      <c r="C46" s="17">
        <v>2008</v>
      </c>
      <c r="D46" s="307" t="s">
        <v>28</v>
      </c>
      <c r="E46" s="307"/>
      <c r="F46" s="364">
        <f>SUM(F47:F56)</f>
        <v>350708</v>
      </c>
      <c r="G46" s="422">
        <f>SUM(G47:G56)</f>
        <v>279843</v>
      </c>
      <c r="H46" s="244"/>
      <c r="I46" s="243">
        <f>G46/F46</f>
        <v>0.7979373153734731</v>
      </c>
      <c r="J46" s="39"/>
      <c r="L46" s="354"/>
    </row>
    <row r="47" spans="2:12" ht="18" hidden="1" outlineLevel="2">
      <c r="B47" s="427" t="s">
        <v>29</v>
      </c>
      <c r="C47" s="30">
        <v>2008</v>
      </c>
      <c r="D47" s="308" t="s">
        <v>30</v>
      </c>
      <c r="E47" s="308"/>
      <c r="F47" s="360">
        <v>23380</v>
      </c>
      <c r="G47" s="523">
        <v>18704</v>
      </c>
      <c r="H47" s="36"/>
      <c r="I47" s="237">
        <f aca="true" t="shared" si="1" ref="I47:I56">G47/F47</f>
        <v>0.8</v>
      </c>
      <c r="J47" s="240"/>
      <c r="L47" s="354"/>
    </row>
    <row r="48" spans="2:12" ht="18" hidden="1" outlineLevel="2">
      <c r="B48" s="428" t="s">
        <v>31</v>
      </c>
      <c r="C48" s="6">
        <v>2008</v>
      </c>
      <c r="D48" s="309" t="s">
        <v>32</v>
      </c>
      <c r="E48" s="309"/>
      <c r="F48" s="361">
        <v>33166</v>
      </c>
      <c r="G48" s="4">
        <v>26532</v>
      </c>
      <c r="H48" s="7"/>
      <c r="I48" s="235">
        <f t="shared" si="1"/>
        <v>0.799975878912139</v>
      </c>
      <c r="J48" s="240"/>
      <c r="L48" s="354"/>
    </row>
    <row r="49" spans="2:12" ht="18" hidden="1" outlineLevel="2">
      <c r="B49" s="428" t="s">
        <v>357</v>
      </c>
      <c r="C49" s="6">
        <v>2008</v>
      </c>
      <c r="D49" s="309" t="s">
        <v>33</v>
      </c>
      <c r="E49" s="309"/>
      <c r="F49" s="361">
        <v>39315</v>
      </c>
      <c r="G49" s="4">
        <v>31451</v>
      </c>
      <c r="H49" s="7"/>
      <c r="I49" s="235">
        <f t="shared" si="1"/>
        <v>0.7999745644156174</v>
      </c>
      <c r="J49" s="240"/>
      <c r="L49" s="354"/>
    </row>
    <row r="50" spans="2:12" ht="18" hidden="1" outlineLevel="2">
      <c r="B50" s="428" t="s">
        <v>358</v>
      </c>
      <c r="C50" s="6">
        <v>2008</v>
      </c>
      <c r="D50" s="309" t="s">
        <v>34</v>
      </c>
      <c r="E50" s="309"/>
      <c r="F50" s="361">
        <v>37707</v>
      </c>
      <c r="G50" s="4">
        <v>29765</v>
      </c>
      <c r="H50" s="7"/>
      <c r="I50" s="235">
        <f t="shared" si="1"/>
        <v>0.7893759779351314</v>
      </c>
      <c r="J50" s="240"/>
      <c r="L50" s="354"/>
    </row>
    <row r="51" spans="2:12" ht="18" hidden="1" outlineLevel="2">
      <c r="B51" s="428" t="s">
        <v>35</v>
      </c>
      <c r="C51" s="6">
        <v>2008</v>
      </c>
      <c r="D51" s="309" t="s">
        <v>36</v>
      </c>
      <c r="E51" s="309"/>
      <c r="F51" s="361">
        <v>34663</v>
      </c>
      <c r="G51" s="4">
        <v>27730</v>
      </c>
      <c r="H51" s="7"/>
      <c r="I51" s="235">
        <f t="shared" si="1"/>
        <v>0.7999884603179183</v>
      </c>
      <c r="J51" s="240"/>
      <c r="L51" s="354"/>
    </row>
    <row r="52" spans="2:12" ht="18" hidden="1" outlineLevel="2">
      <c r="B52" s="428" t="s">
        <v>37</v>
      </c>
      <c r="C52" s="6">
        <v>2008</v>
      </c>
      <c r="D52" s="309" t="s">
        <v>38</v>
      </c>
      <c r="E52" s="309"/>
      <c r="F52" s="361">
        <v>39263</v>
      </c>
      <c r="G52" s="4">
        <v>31090</v>
      </c>
      <c r="H52" s="7"/>
      <c r="I52" s="235">
        <f t="shared" si="1"/>
        <v>0.7918396454677432</v>
      </c>
      <c r="J52" s="240"/>
      <c r="L52" s="354"/>
    </row>
    <row r="53" spans="2:12" ht="18" hidden="1" outlineLevel="2">
      <c r="B53" s="428" t="s">
        <v>39</v>
      </c>
      <c r="C53" s="6">
        <v>2008</v>
      </c>
      <c r="D53" s="309" t="s">
        <v>40</v>
      </c>
      <c r="E53" s="309"/>
      <c r="F53" s="361">
        <v>34314</v>
      </c>
      <c r="G53" s="4">
        <v>27451</v>
      </c>
      <c r="H53" s="7"/>
      <c r="I53" s="235">
        <f t="shared" si="1"/>
        <v>0.7999941714751996</v>
      </c>
      <c r="J53" s="240"/>
      <c r="L53" s="354"/>
    </row>
    <row r="54" spans="2:12" ht="18" hidden="1" outlineLevel="2">
      <c r="B54" s="428" t="s">
        <v>41</v>
      </c>
      <c r="C54" s="6">
        <v>2008</v>
      </c>
      <c r="D54" s="309" t="s">
        <v>42</v>
      </c>
      <c r="E54" s="309"/>
      <c r="F54" s="361">
        <v>37300</v>
      </c>
      <c r="G54" s="4">
        <v>29840</v>
      </c>
      <c r="H54" s="7"/>
      <c r="I54" s="235">
        <f t="shared" si="1"/>
        <v>0.8</v>
      </c>
      <c r="J54" s="240"/>
      <c r="L54" s="354"/>
    </row>
    <row r="55" spans="2:12" ht="18" hidden="1" outlineLevel="2">
      <c r="B55" s="428" t="s">
        <v>43</v>
      </c>
      <c r="C55" s="6">
        <v>2008</v>
      </c>
      <c r="D55" s="309" t="s">
        <v>44</v>
      </c>
      <c r="E55" s="309"/>
      <c r="F55" s="361">
        <v>31468</v>
      </c>
      <c r="G55" s="4">
        <v>25174</v>
      </c>
      <c r="H55" s="7"/>
      <c r="I55" s="235">
        <f t="shared" si="1"/>
        <v>0.7999872886742088</v>
      </c>
      <c r="J55" s="240"/>
      <c r="L55" s="354"/>
    </row>
    <row r="56" spans="2:12" ht="18" hidden="1" outlineLevel="2">
      <c r="B56" s="428" t="s">
        <v>45</v>
      </c>
      <c r="C56" s="6">
        <v>2008</v>
      </c>
      <c r="D56" s="309" t="s">
        <v>46</v>
      </c>
      <c r="E56" s="309"/>
      <c r="F56" s="361">
        <v>40132</v>
      </c>
      <c r="G56" s="4">
        <v>32106</v>
      </c>
      <c r="H56" s="7"/>
      <c r="I56" s="235">
        <f t="shared" si="1"/>
        <v>0.8000099671085418</v>
      </c>
      <c r="J56" s="240"/>
      <c r="L56" s="354"/>
    </row>
    <row r="57" spans="2:17" s="2" customFormat="1" ht="15.75" customHeight="1" hidden="1" outlineLevel="1" collapsed="1" thickBot="1">
      <c r="B57" s="3"/>
      <c r="C57" s="3"/>
      <c r="D57" s="306"/>
      <c r="E57" s="306"/>
      <c r="F57" s="359"/>
      <c r="G57" s="3"/>
      <c r="H57" s="3"/>
      <c r="I57" s="245"/>
      <c r="J57" s="39"/>
      <c r="L57" s="389"/>
      <c r="Q57" s="14"/>
    </row>
    <row r="58" spans="2:14" ht="31.5" customHeight="1" hidden="1" outlineLevel="1" thickBot="1">
      <c r="B58" s="429" t="s">
        <v>16</v>
      </c>
      <c r="C58" s="17">
        <v>2009</v>
      </c>
      <c r="D58" s="307" t="s">
        <v>28</v>
      </c>
      <c r="E58" s="307"/>
      <c r="F58" s="364">
        <f>SUM(F59:F70)</f>
        <v>407661</v>
      </c>
      <c r="G58" s="422">
        <f>SUM(G59:G70)</f>
        <v>303705</v>
      </c>
      <c r="H58" s="244"/>
      <c r="I58" s="243">
        <f>G58/F58</f>
        <v>0.7449940023696159</v>
      </c>
      <c r="J58" s="39"/>
      <c r="L58" s="354"/>
      <c r="N58" s="4"/>
    </row>
    <row r="59" spans="2:12" ht="18" hidden="1" outlineLevel="2">
      <c r="B59" s="427" t="s">
        <v>31</v>
      </c>
      <c r="C59" s="30">
        <v>2009</v>
      </c>
      <c r="D59" s="310" t="s">
        <v>126</v>
      </c>
      <c r="E59" s="310"/>
      <c r="F59" s="360">
        <v>28321</v>
      </c>
      <c r="G59" s="523">
        <v>21099</v>
      </c>
      <c r="H59" s="36"/>
      <c r="I59" s="237">
        <f aca="true" t="shared" si="2" ref="I59:I70">G59/F59</f>
        <v>0.7449948801242894</v>
      </c>
      <c r="J59" s="240"/>
      <c r="L59" s="354"/>
    </row>
    <row r="60" spans="2:12" ht="18" hidden="1" outlineLevel="2">
      <c r="B60" s="428" t="s">
        <v>43</v>
      </c>
      <c r="C60" s="6">
        <v>2009</v>
      </c>
      <c r="D60" s="311" t="s">
        <v>47</v>
      </c>
      <c r="E60" s="309"/>
      <c r="F60" s="361">
        <v>32570</v>
      </c>
      <c r="G60" s="4">
        <v>24265</v>
      </c>
      <c r="H60" s="7"/>
      <c r="I60" s="235">
        <f t="shared" si="2"/>
        <v>0.7450107460853547</v>
      </c>
      <c r="J60" s="240"/>
      <c r="L60" s="354"/>
    </row>
    <row r="61" spans="2:12" ht="18" hidden="1" outlineLevel="2">
      <c r="B61" s="428" t="s">
        <v>35</v>
      </c>
      <c r="C61" s="6">
        <v>2009</v>
      </c>
      <c r="D61" s="311" t="s">
        <v>48</v>
      </c>
      <c r="E61" s="309"/>
      <c r="F61" s="361">
        <v>38482</v>
      </c>
      <c r="G61" s="4">
        <v>28669</v>
      </c>
      <c r="H61" s="7"/>
      <c r="I61" s="235">
        <f t="shared" si="2"/>
        <v>0.7449976612442181</v>
      </c>
      <c r="J61" s="240"/>
      <c r="L61" s="354"/>
    </row>
    <row r="62" spans="2:12" ht="18" hidden="1" outlineLevel="2">
      <c r="B62" s="428" t="s">
        <v>358</v>
      </c>
      <c r="C62" s="6">
        <v>2009</v>
      </c>
      <c r="D62" s="311" t="s">
        <v>49</v>
      </c>
      <c r="E62" s="309"/>
      <c r="F62" s="361">
        <v>34211</v>
      </c>
      <c r="G62" s="4">
        <v>25487</v>
      </c>
      <c r="H62" s="7"/>
      <c r="I62" s="235">
        <f t="shared" si="2"/>
        <v>0.744994300078922</v>
      </c>
      <c r="J62" s="240"/>
      <c r="L62" s="354"/>
    </row>
    <row r="63" spans="2:12" ht="18" hidden="1" outlineLevel="2">
      <c r="B63" s="428" t="s">
        <v>45</v>
      </c>
      <c r="C63" s="6">
        <v>2009</v>
      </c>
      <c r="D63" s="311" t="s">
        <v>50</v>
      </c>
      <c r="E63" s="309"/>
      <c r="F63" s="361">
        <v>32958</v>
      </c>
      <c r="G63" s="4">
        <v>24553</v>
      </c>
      <c r="H63" s="7"/>
      <c r="I63" s="235">
        <f t="shared" si="2"/>
        <v>0.7449784574306694</v>
      </c>
      <c r="J63" s="240"/>
      <c r="L63" s="354"/>
    </row>
    <row r="64" spans="2:12" ht="18" hidden="1" outlineLevel="2">
      <c r="B64" s="428" t="s">
        <v>39</v>
      </c>
      <c r="C64" s="6">
        <v>2009</v>
      </c>
      <c r="D64" s="311" t="s">
        <v>51</v>
      </c>
      <c r="E64" s="309"/>
      <c r="F64" s="361">
        <v>31540</v>
      </c>
      <c r="G64" s="4">
        <v>23497</v>
      </c>
      <c r="H64" s="7"/>
      <c r="I64" s="235">
        <f t="shared" si="2"/>
        <v>0.7449904882688649</v>
      </c>
      <c r="J64" s="240"/>
      <c r="L64" s="354"/>
    </row>
    <row r="65" spans="2:12" ht="18" hidden="1" outlineLevel="2">
      <c r="B65" s="428" t="s">
        <v>357</v>
      </c>
      <c r="C65" s="6">
        <v>2009</v>
      </c>
      <c r="D65" s="311" t="s">
        <v>52</v>
      </c>
      <c r="E65" s="309"/>
      <c r="F65" s="361">
        <v>36216</v>
      </c>
      <c r="G65" s="4">
        <v>26981</v>
      </c>
      <c r="H65" s="7"/>
      <c r="I65" s="235">
        <f t="shared" si="2"/>
        <v>0.7450022089684117</v>
      </c>
      <c r="J65" s="240"/>
      <c r="L65" s="354"/>
    </row>
    <row r="66" spans="2:12" ht="18" hidden="1" outlineLevel="2">
      <c r="B66" s="428" t="s">
        <v>29</v>
      </c>
      <c r="C66" s="6">
        <v>2009</v>
      </c>
      <c r="D66" s="311" t="s">
        <v>53</v>
      </c>
      <c r="E66" s="309"/>
      <c r="F66" s="361">
        <v>36534</v>
      </c>
      <c r="G66" s="4">
        <v>27218</v>
      </c>
      <c r="H66" s="7"/>
      <c r="I66" s="235">
        <f t="shared" si="2"/>
        <v>0.7450046531997592</v>
      </c>
      <c r="J66" s="240"/>
      <c r="L66" s="354"/>
    </row>
    <row r="67" spans="2:12" ht="18" hidden="1" outlineLevel="2">
      <c r="B67" s="428" t="s">
        <v>41</v>
      </c>
      <c r="C67" s="6">
        <v>2009</v>
      </c>
      <c r="D67" s="311" t="s">
        <v>54</v>
      </c>
      <c r="E67" s="309"/>
      <c r="F67" s="361">
        <v>35921</v>
      </c>
      <c r="G67" s="4">
        <v>26761</v>
      </c>
      <c r="H67" s="7"/>
      <c r="I67" s="235">
        <f t="shared" si="2"/>
        <v>0.7449959633640488</v>
      </c>
      <c r="J67" s="240"/>
      <c r="L67" s="354"/>
    </row>
    <row r="68" spans="2:12" ht="18" hidden="1" outlineLevel="2">
      <c r="B68" s="428" t="s">
        <v>55</v>
      </c>
      <c r="C68" s="6">
        <v>2009</v>
      </c>
      <c r="D68" s="311" t="s">
        <v>56</v>
      </c>
      <c r="E68" s="309"/>
      <c r="F68" s="361">
        <v>33766</v>
      </c>
      <c r="G68" s="4">
        <v>25155</v>
      </c>
      <c r="H68" s="7"/>
      <c r="I68" s="235">
        <f t="shared" si="2"/>
        <v>0.744980157554937</v>
      </c>
      <c r="J68" s="240"/>
      <c r="L68" s="354"/>
    </row>
    <row r="69" spans="2:12" ht="18" hidden="1" outlineLevel="2">
      <c r="B69" s="428" t="s">
        <v>37</v>
      </c>
      <c r="C69" s="6">
        <v>2009</v>
      </c>
      <c r="D69" s="311" t="s">
        <v>57</v>
      </c>
      <c r="E69" s="309"/>
      <c r="F69" s="361">
        <v>35602</v>
      </c>
      <c r="G69" s="4">
        <v>26523</v>
      </c>
      <c r="H69" s="7"/>
      <c r="I69" s="235">
        <f t="shared" si="2"/>
        <v>0.7449862367282737</v>
      </c>
      <c r="J69" s="240"/>
      <c r="L69" s="354"/>
    </row>
    <row r="70" spans="2:12" ht="18" hidden="1" outlineLevel="2">
      <c r="B70" s="428" t="s">
        <v>45</v>
      </c>
      <c r="C70" s="6">
        <v>2009</v>
      </c>
      <c r="D70" s="311" t="s">
        <v>58</v>
      </c>
      <c r="E70" s="309"/>
      <c r="F70" s="361">
        <v>31540</v>
      </c>
      <c r="G70" s="4">
        <v>23497</v>
      </c>
      <c r="H70" s="7"/>
      <c r="I70" s="235">
        <f t="shared" si="2"/>
        <v>0.7449904882688649</v>
      </c>
      <c r="J70" s="240"/>
      <c r="L70" s="354"/>
    </row>
    <row r="71" spans="2:17" s="2" customFormat="1" ht="18.75" hidden="1" outlineLevel="1" collapsed="1" thickBot="1">
      <c r="B71" s="3"/>
      <c r="C71" s="3"/>
      <c r="D71" s="306"/>
      <c r="E71" s="306"/>
      <c r="F71" s="359"/>
      <c r="G71" s="3"/>
      <c r="H71" s="3"/>
      <c r="I71" s="5"/>
      <c r="J71" s="39"/>
      <c r="L71" s="389"/>
      <c r="Q71" s="14"/>
    </row>
    <row r="72" spans="2:17" s="2" customFormat="1" ht="18.75" hidden="1" outlineLevel="1" thickBot="1">
      <c r="B72" s="430" t="s">
        <v>329</v>
      </c>
      <c r="C72" s="17" t="s">
        <v>331</v>
      </c>
      <c r="D72" s="307" t="s">
        <v>330</v>
      </c>
      <c r="E72" s="391" t="s">
        <v>332</v>
      </c>
      <c r="F72" s="392">
        <v>140000</v>
      </c>
      <c r="G72" s="421">
        <f>F72*I72</f>
        <v>112000</v>
      </c>
      <c r="H72" s="244"/>
      <c r="I72" s="423">
        <v>0.8</v>
      </c>
      <c r="J72" s="39"/>
      <c r="L72" s="389"/>
      <c r="Q72" s="14"/>
    </row>
    <row r="73" spans="2:17" s="2" customFormat="1" ht="18" hidden="1" outlineLevel="1">
      <c r="B73" s="3"/>
      <c r="C73" s="3"/>
      <c r="D73" s="306"/>
      <c r="E73" s="306"/>
      <c r="F73" s="359"/>
      <c r="G73" s="3"/>
      <c r="H73" s="3"/>
      <c r="I73" s="5"/>
      <c r="J73" s="39"/>
      <c r="L73" s="389"/>
      <c r="Q73" s="14"/>
    </row>
    <row r="74" spans="2:17" s="2" customFormat="1" ht="18" hidden="1" outlineLevel="1">
      <c r="B74" s="3"/>
      <c r="C74" s="3"/>
      <c r="D74" s="306"/>
      <c r="E74" s="306"/>
      <c r="F74" s="359"/>
      <c r="G74" s="3"/>
      <c r="H74" s="3"/>
      <c r="I74" s="5"/>
      <c r="J74" s="39"/>
      <c r="L74" s="389"/>
      <c r="Q74" s="14"/>
    </row>
    <row r="75" spans="2:17" s="2" customFormat="1" ht="18" collapsed="1">
      <c r="B75" s="3"/>
      <c r="C75" s="3"/>
      <c r="D75" s="306"/>
      <c r="E75" s="306"/>
      <c r="F75" s="365"/>
      <c r="G75" s="3"/>
      <c r="H75" s="8"/>
      <c r="I75" s="5"/>
      <c r="J75" s="39"/>
      <c r="L75" s="389"/>
      <c r="Q75" s="14"/>
    </row>
    <row r="76" spans="2:12" ht="18.75" thickBot="1">
      <c r="B76" s="224" t="s">
        <v>327</v>
      </c>
      <c r="C76" s="225" t="s">
        <v>291</v>
      </c>
      <c r="D76" s="227" t="s">
        <v>65</v>
      </c>
      <c r="E76" s="312"/>
      <c r="F76" s="366">
        <f>F77+F81+F82+F83+F84+F85+F86+F87+F92+F93+F94</f>
        <v>4325656.16</v>
      </c>
      <c r="G76" s="9"/>
      <c r="H76" s="226">
        <f>G77+G81+G82+G83+G85+G86+G84+G87+G92+G93+G94</f>
        <v>1783633.3</v>
      </c>
      <c r="I76" s="367">
        <f>H76/F76</f>
        <v>0.41233820581800473</v>
      </c>
      <c r="L76" s="385">
        <f>H76/$H$160</f>
        <v>0.005794877530043123</v>
      </c>
    </row>
    <row r="77" spans="2:12" ht="32.25" outlineLevel="1" thickBot="1">
      <c r="B77" s="217" t="s">
        <v>67</v>
      </c>
      <c r="C77" s="242">
        <v>2002</v>
      </c>
      <c r="D77" s="353" t="s">
        <v>65</v>
      </c>
      <c r="E77" s="313" t="s">
        <v>68</v>
      </c>
      <c r="F77" s="18">
        <f>SUM(F78:F79)</f>
        <v>459849</v>
      </c>
      <c r="G77" s="18">
        <f>SUM(G78:G79)</f>
        <v>313148</v>
      </c>
      <c r="H77" s="18"/>
      <c r="I77" s="243"/>
      <c r="J77" s="43"/>
      <c r="L77" s="388"/>
    </row>
    <row r="78" spans="2:12" ht="26.25" hidden="1" outlineLevel="2">
      <c r="B78" s="33" t="s">
        <v>69</v>
      </c>
      <c r="C78" s="33">
        <v>2002</v>
      </c>
      <c r="D78" s="314" t="s">
        <v>59</v>
      </c>
      <c r="E78" s="314" t="s">
        <v>68</v>
      </c>
      <c r="F78" s="250">
        <v>208964</v>
      </c>
      <c r="G78" s="250">
        <v>133148</v>
      </c>
      <c r="H78" s="251"/>
      <c r="I78" s="252">
        <f>G78/F78</f>
        <v>0.637181524090274</v>
      </c>
      <c r="J78" s="240"/>
      <c r="L78" s="388"/>
    </row>
    <row r="79" spans="2:12" ht="18" hidden="1" outlineLevel="2">
      <c r="B79" s="32" t="s">
        <v>70</v>
      </c>
      <c r="C79" s="32">
        <v>2002</v>
      </c>
      <c r="D79" s="315" t="s">
        <v>59</v>
      </c>
      <c r="E79" s="315" t="s">
        <v>68</v>
      </c>
      <c r="F79" s="246">
        <v>250885</v>
      </c>
      <c r="G79" s="246">
        <v>180000</v>
      </c>
      <c r="H79" s="247"/>
      <c r="I79" s="248">
        <f>G79/F79</f>
        <v>0.7174601909241286</v>
      </c>
      <c r="J79" s="240"/>
      <c r="L79" s="388"/>
    </row>
    <row r="80" spans="2:12" ht="4.5" customHeight="1" outlineLevel="1" collapsed="1">
      <c r="B80" s="10"/>
      <c r="C80" s="10"/>
      <c r="D80" s="222"/>
      <c r="E80" s="222"/>
      <c r="F80" s="10"/>
      <c r="G80" s="10"/>
      <c r="H80" s="10"/>
      <c r="I80" s="11"/>
      <c r="J80" s="39"/>
      <c r="L80" s="388"/>
    </row>
    <row r="81" spans="2:12" ht="30" outlineLevel="1" collapsed="1">
      <c r="B81" s="20" t="s">
        <v>66</v>
      </c>
      <c r="C81" s="20">
        <v>2002</v>
      </c>
      <c r="D81" s="305" t="s">
        <v>65</v>
      </c>
      <c r="E81" s="305" t="s">
        <v>63</v>
      </c>
      <c r="F81" s="21">
        <v>148345</v>
      </c>
      <c r="G81" s="352">
        <v>75000</v>
      </c>
      <c r="H81" s="349"/>
      <c r="I81" s="19">
        <f aca="true" t="shared" si="3" ref="I81:I89">G81/F81</f>
        <v>0.5055782129495433</v>
      </c>
      <c r="J81" s="39"/>
      <c r="L81" s="388"/>
    </row>
    <row r="82" spans="2:12" ht="30.75" outlineLevel="1" thickBot="1">
      <c r="B82" s="20" t="s">
        <v>71</v>
      </c>
      <c r="C82" s="20">
        <v>2003</v>
      </c>
      <c r="D82" s="305" t="s">
        <v>72</v>
      </c>
      <c r="E82" s="305" t="s">
        <v>68</v>
      </c>
      <c r="F82" s="21">
        <v>1326941</v>
      </c>
      <c r="G82" s="352">
        <v>660107</v>
      </c>
      <c r="H82" s="349"/>
      <c r="I82" s="19">
        <f t="shared" si="3"/>
        <v>0.4974652226436594</v>
      </c>
      <c r="J82" s="39"/>
      <c r="L82" s="388"/>
    </row>
    <row r="83" spans="2:15" ht="31.5" outlineLevel="1" thickBot="1">
      <c r="B83" s="20" t="s">
        <v>73</v>
      </c>
      <c r="C83" s="20" t="s">
        <v>74</v>
      </c>
      <c r="D83" s="305" t="s">
        <v>65</v>
      </c>
      <c r="E83" s="305" t="s">
        <v>75</v>
      </c>
      <c r="F83" s="21">
        <v>208964</v>
      </c>
      <c r="G83" s="352">
        <v>77964</v>
      </c>
      <c r="H83" s="349"/>
      <c r="I83" s="19">
        <f t="shared" si="3"/>
        <v>0.373097758465573</v>
      </c>
      <c r="L83" s="388"/>
      <c r="O83" s="38" t="s">
        <v>64</v>
      </c>
    </row>
    <row r="84" spans="2:12" ht="18" outlineLevel="1">
      <c r="B84" s="23" t="s">
        <v>76</v>
      </c>
      <c r="C84" s="23">
        <v>2003</v>
      </c>
      <c r="D84" s="304" t="s">
        <v>65</v>
      </c>
      <c r="E84" s="304" t="s">
        <v>62</v>
      </c>
      <c r="F84" s="24">
        <v>25077</v>
      </c>
      <c r="G84" s="350">
        <v>0</v>
      </c>
      <c r="H84" s="350"/>
      <c r="I84" s="351">
        <f t="shared" si="3"/>
        <v>0</v>
      </c>
      <c r="J84" s="241"/>
      <c r="L84" s="388"/>
    </row>
    <row r="85" spans="2:12" ht="18" outlineLevel="1">
      <c r="B85" s="20" t="s">
        <v>77</v>
      </c>
      <c r="C85" s="20">
        <v>2004</v>
      </c>
      <c r="D85" s="305" t="s">
        <v>65</v>
      </c>
      <c r="E85" s="305" t="s">
        <v>78</v>
      </c>
      <c r="F85" s="21">
        <v>151909</v>
      </c>
      <c r="G85" s="21">
        <v>113923</v>
      </c>
      <c r="H85" s="20"/>
      <c r="I85" s="19">
        <f t="shared" si="3"/>
        <v>0.7499423997261518</v>
      </c>
      <c r="J85" s="39"/>
      <c r="L85" s="388"/>
    </row>
    <row r="86" spans="2:15" ht="30.75" outlineLevel="1">
      <c r="B86" s="20" t="s">
        <v>79</v>
      </c>
      <c r="C86" s="20">
        <v>2005</v>
      </c>
      <c r="D86" s="305" t="s">
        <v>80</v>
      </c>
      <c r="E86" s="305" t="s">
        <v>68</v>
      </c>
      <c r="F86" s="21">
        <v>12572</v>
      </c>
      <c r="G86" s="21">
        <v>7572</v>
      </c>
      <c r="H86" s="20"/>
      <c r="I86" s="19">
        <f t="shared" si="3"/>
        <v>0.6022908049634108</v>
      </c>
      <c r="L86" s="388"/>
      <c r="O86" s="41" t="s">
        <v>64</v>
      </c>
    </row>
    <row r="87" spans="2:12" ht="32.25" hidden="1" outlineLevel="2" thickBot="1">
      <c r="B87" s="31" t="s">
        <v>67</v>
      </c>
      <c r="C87" s="28">
        <v>2006</v>
      </c>
      <c r="D87" s="307" t="s">
        <v>65</v>
      </c>
      <c r="E87" s="316" t="s">
        <v>68</v>
      </c>
      <c r="F87" s="29">
        <f>SUM(F88:F89)</f>
        <v>92705</v>
      </c>
      <c r="G87" s="29">
        <f>SUM(G88:G89)</f>
        <v>57223</v>
      </c>
      <c r="H87" s="18"/>
      <c r="I87" s="249">
        <f t="shared" si="3"/>
        <v>0.6172590475163152</v>
      </c>
      <c r="J87" s="43"/>
      <c r="L87" s="388"/>
    </row>
    <row r="88" spans="2:12" ht="18" hidden="1" outlineLevel="3">
      <c r="B88" s="33" t="s">
        <v>81</v>
      </c>
      <c r="C88" s="23">
        <v>2006</v>
      </c>
      <c r="D88" s="304" t="s">
        <v>82</v>
      </c>
      <c r="E88" s="304" t="s">
        <v>68</v>
      </c>
      <c r="F88" s="23">
        <v>11500</v>
      </c>
      <c r="G88" s="23">
        <v>8500</v>
      </c>
      <c r="H88" s="23"/>
      <c r="I88" s="253">
        <f t="shared" si="3"/>
        <v>0.7391304347826086</v>
      </c>
      <c r="J88" s="39"/>
      <c r="L88" s="388"/>
    </row>
    <row r="89" spans="2:12" ht="18" hidden="1" outlineLevel="3">
      <c r="B89" s="32" t="s">
        <v>83</v>
      </c>
      <c r="C89" s="20">
        <v>2006</v>
      </c>
      <c r="D89" s="305" t="s">
        <v>59</v>
      </c>
      <c r="E89" s="305" t="s">
        <v>68</v>
      </c>
      <c r="F89" s="20">
        <v>81205</v>
      </c>
      <c r="G89" s="20">
        <v>48723</v>
      </c>
      <c r="H89" s="53"/>
      <c r="I89" s="19">
        <f t="shared" si="3"/>
        <v>0.6</v>
      </c>
      <c r="J89" s="39"/>
      <c r="L89" s="388"/>
    </row>
    <row r="90" spans="2:12" ht="18" hidden="1" outlineLevel="3">
      <c r="B90" s="32" t="s">
        <v>84</v>
      </c>
      <c r="C90" s="20">
        <v>2006</v>
      </c>
      <c r="D90" s="305" t="s">
        <v>59</v>
      </c>
      <c r="E90" s="305" t="s">
        <v>63</v>
      </c>
      <c r="F90" s="20">
        <v>0</v>
      </c>
      <c r="G90" s="20"/>
      <c r="H90" s="20"/>
      <c r="I90" s="19" t="s">
        <v>25</v>
      </c>
      <c r="J90" s="39"/>
      <c r="L90" s="388"/>
    </row>
    <row r="91" spans="2:17" s="2" customFormat="1" ht="11.25" customHeight="1" hidden="1" outlineLevel="2">
      <c r="B91" s="3"/>
      <c r="C91" s="3"/>
      <c r="D91" s="306"/>
      <c r="E91" s="306"/>
      <c r="F91" s="3"/>
      <c r="G91" s="3"/>
      <c r="H91" s="3"/>
      <c r="I91" s="5"/>
      <c r="J91" s="39"/>
      <c r="L91" s="387"/>
      <c r="Q91" s="14"/>
    </row>
    <row r="92" spans="2:15" ht="45.75" hidden="1" outlineLevel="2">
      <c r="B92" s="20" t="s">
        <v>85</v>
      </c>
      <c r="C92" s="20">
        <v>2007</v>
      </c>
      <c r="D92" s="305" t="s">
        <v>86</v>
      </c>
      <c r="E92" s="305" t="s">
        <v>63</v>
      </c>
      <c r="F92" s="21">
        <v>6985</v>
      </c>
      <c r="G92" s="21">
        <v>3616.3</v>
      </c>
      <c r="H92" s="20"/>
      <c r="I92" s="19">
        <f>G92/F92</f>
        <v>0.5177236936292055</v>
      </c>
      <c r="L92" s="388"/>
      <c r="O92" s="41" t="s">
        <v>64</v>
      </c>
    </row>
    <row r="93" spans="2:12" ht="18.75" hidden="1" outlineLevel="2" thickBot="1">
      <c r="B93" s="20" t="s">
        <v>87</v>
      </c>
      <c r="C93" s="20">
        <v>2008</v>
      </c>
      <c r="D93" s="305" t="s">
        <v>65</v>
      </c>
      <c r="E93" s="305" t="s">
        <v>63</v>
      </c>
      <c r="F93" s="21">
        <v>3987.38</v>
      </c>
      <c r="G93" s="21">
        <v>3000</v>
      </c>
      <c r="H93" s="20"/>
      <c r="I93" s="19">
        <f>G93/F93</f>
        <v>0.7523737391470088</v>
      </c>
      <c r="J93" s="39"/>
      <c r="L93" s="388"/>
    </row>
    <row r="94" spans="2:15" ht="27" hidden="1" outlineLevel="2" thickBot="1">
      <c r="B94" s="20" t="s">
        <v>88</v>
      </c>
      <c r="C94" s="20">
        <v>2009</v>
      </c>
      <c r="D94" s="305" t="s">
        <v>65</v>
      </c>
      <c r="E94" s="305" t="s">
        <v>62</v>
      </c>
      <c r="F94" s="21">
        <v>1888321.78</v>
      </c>
      <c r="G94" s="21">
        <v>472080</v>
      </c>
      <c r="H94" s="349"/>
      <c r="I94" s="19">
        <f>G94/F94</f>
        <v>0.24999976434101184</v>
      </c>
      <c r="L94" s="388"/>
      <c r="O94" s="38" t="s">
        <v>64</v>
      </c>
    </row>
    <row r="95" spans="2:17" s="2" customFormat="1" ht="18" outlineLevel="1" collapsed="1">
      <c r="B95" s="3"/>
      <c r="C95" s="3"/>
      <c r="D95" s="306"/>
      <c r="E95" s="306"/>
      <c r="F95" s="3"/>
      <c r="G95" s="3"/>
      <c r="H95" s="3"/>
      <c r="I95" s="5"/>
      <c r="J95" s="39"/>
      <c r="L95" s="389"/>
      <c r="Q95" s="14"/>
    </row>
    <row r="96" spans="2:17" s="2" customFormat="1" ht="32.25" customHeight="1" thickBot="1">
      <c r="B96" s="414" t="s">
        <v>89</v>
      </c>
      <c r="C96" s="254" t="s">
        <v>353</v>
      </c>
      <c r="D96" s="415" t="s">
        <v>352</v>
      </c>
      <c r="E96" s="416" t="s">
        <v>90</v>
      </c>
      <c r="F96" s="417">
        <f>F97+F104+F110</f>
        <v>21304420.494659442</v>
      </c>
      <c r="G96" s="418" t="s">
        <v>346</v>
      </c>
      <c r="H96" s="419">
        <f>G97+G104+G110</f>
        <v>4441664.791609438</v>
      </c>
      <c r="I96" s="420"/>
      <c r="J96" s="14"/>
      <c r="L96" s="385">
        <f>H96/$H$160</f>
        <v>0.014430602689959422</v>
      </c>
      <c r="O96" s="62" t="s">
        <v>230</v>
      </c>
      <c r="P96" s="62" t="s">
        <v>293</v>
      </c>
      <c r="Q96" s="14"/>
    </row>
    <row r="97" spans="2:16" ht="18.75" outlineLevel="1" thickBot="1">
      <c r="B97" s="515" t="s">
        <v>89</v>
      </c>
      <c r="C97" s="516">
        <v>2001</v>
      </c>
      <c r="D97" s="517"/>
      <c r="E97" s="518" t="s">
        <v>90</v>
      </c>
      <c r="F97" s="519">
        <f>SUM(F98:F102)</f>
        <v>12669706</v>
      </c>
      <c r="G97" s="519">
        <f>SUM(G98:G102)</f>
        <v>2665321.3053711574</v>
      </c>
      <c r="H97" s="520"/>
      <c r="I97" s="521">
        <v>0.75</v>
      </c>
      <c r="L97" s="388"/>
      <c r="N97" s="62" t="s">
        <v>344</v>
      </c>
      <c r="O97" s="203" t="s">
        <v>343</v>
      </c>
      <c r="P97" s="408" t="s">
        <v>345</v>
      </c>
    </row>
    <row r="98" spans="2:16" ht="18" outlineLevel="2">
      <c r="B98" s="435" t="s">
        <v>347</v>
      </c>
      <c r="C98" s="23">
        <v>2001</v>
      </c>
      <c r="D98" s="304" t="s">
        <v>168</v>
      </c>
      <c r="E98" s="304" t="s">
        <v>336</v>
      </c>
      <c r="F98" s="24">
        <v>2022065</v>
      </c>
      <c r="G98" s="24">
        <v>1516540</v>
      </c>
      <c r="H98" s="25"/>
      <c r="I98" s="262">
        <f>G98/F98</f>
        <v>0.7499956727404905</v>
      </c>
      <c r="J98" s="39"/>
      <c r="L98" s="388"/>
      <c r="P98" s="406">
        <v>1</v>
      </c>
    </row>
    <row r="99" spans="2:18" ht="18" outlineLevel="2">
      <c r="B99" s="257" t="s">
        <v>92</v>
      </c>
      <c r="C99" s="231" t="s">
        <v>299</v>
      </c>
      <c r="D99" s="305" t="s">
        <v>167</v>
      </c>
      <c r="E99" s="305" t="s">
        <v>335</v>
      </c>
      <c r="F99" s="21">
        <v>3249684</v>
      </c>
      <c r="G99" s="352">
        <f>N99*P99</f>
        <v>679127.9373247351</v>
      </c>
      <c r="H99" s="22"/>
      <c r="I99" s="19" t="s">
        <v>25</v>
      </c>
      <c r="L99" s="388"/>
      <c r="N99" s="232">
        <f>F99*Q99</f>
        <v>2437263</v>
      </c>
      <c r="O99" s="233">
        <v>3</v>
      </c>
      <c r="P99" s="412">
        <f>AND!C6/(AND!C6+AND!C7+AND!C10)</f>
        <v>0.27864368241126836</v>
      </c>
      <c r="Q99" s="16">
        <v>0.75</v>
      </c>
      <c r="R99" s="234" t="s">
        <v>64</v>
      </c>
    </row>
    <row r="100" spans="2:17" ht="18" outlineLevel="2">
      <c r="B100" s="257" t="s">
        <v>342</v>
      </c>
      <c r="C100" s="20">
        <v>2001</v>
      </c>
      <c r="D100" s="305" t="s">
        <v>12</v>
      </c>
      <c r="E100" s="305" t="s">
        <v>341</v>
      </c>
      <c r="F100" s="21">
        <v>2644419</v>
      </c>
      <c r="G100" s="21">
        <f>N100*AND!D6</f>
        <v>161435.56370089442</v>
      </c>
      <c r="H100" s="255"/>
      <c r="I100" s="34"/>
      <c r="J100" s="39"/>
      <c r="L100" s="388"/>
      <c r="N100" s="232">
        <f>F100*Q100</f>
        <v>1983314.25</v>
      </c>
      <c r="O100" s="233" t="s">
        <v>218</v>
      </c>
      <c r="P100" s="410">
        <v>0.0814</v>
      </c>
      <c r="Q100" s="16">
        <v>0.75</v>
      </c>
    </row>
    <row r="101" spans="2:17" ht="18" outlineLevel="2">
      <c r="B101" s="257" t="s">
        <v>351</v>
      </c>
      <c r="C101" s="20">
        <v>2001</v>
      </c>
      <c r="D101" s="305" t="s">
        <v>12</v>
      </c>
      <c r="E101" s="305" t="s">
        <v>336</v>
      </c>
      <c r="F101" s="21">
        <v>2362229</v>
      </c>
      <c r="G101" s="21">
        <f>P101*N101</f>
        <v>144214.08045</v>
      </c>
      <c r="H101" s="255"/>
      <c r="I101" s="34"/>
      <c r="J101" s="39"/>
      <c r="L101" s="390"/>
      <c r="N101" s="232">
        <f>F101*Q101</f>
        <v>1771671.75</v>
      </c>
      <c r="O101" s="233" t="s">
        <v>218</v>
      </c>
      <c r="P101" s="410">
        <v>0.0814</v>
      </c>
      <c r="Q101" s="16">
        <v>0.75</v>
      </c>
    </row>
    <row r="102" spans="2:17" ht="18" customHeight="1" outlineLevel="2">
      <c r="B102" s="257" t="s">
        <v>348</v>
      </c>
      <c r="C102" s="20">
        <v>2001</v>
      </c>
      <c r="D102" s="305" t="s">
        <v>169</v>
      </c>
      <c r="E102" s="305" t="s">
        <v>336</v>
      </c>
      <c r="F102" s="20">
        <v>2391309</v>
      </c>
      <c r="G102" s="21">
        <f>P102*N102</f>
        <v>164003.723895528</v>
      </c>
      <c r="H102" s="22"/>
      <c r="I102" s="19">
        <v>0.75</v>
      </c>
      <c r="J102" s="39"/>
      <c r="L102" s="390"/>
      <c r="N102" s="232">
        <f>F102*Q102</f>
        <v>1793481.75</v>
      </c>
      <c r="O102" s="233">
        <v>7</v>
      </c>
      <c r="P102" s="412">
        <f>AND!C6/(AND!C6+AND!C7+AND!C8+AND!C10+AND!C11+AND!C12+AND!C13)</f>
        <v>0.09144432269552116</v>
      </c>
      <c r="Q102" s="16">
        <v>0.75</v>
      </c>
    </row>
    <row r="103" spans="2:12" s="2" customFormat="1" ht="6.75" customHeight="1" outlineLevel="1" thickBot="1">
      <c r="B103" s="3"/>
      <c r="C103" s="3"/>
      <c r="D103" s="306"/>
      <c r="E103" s="306"/>
      <c r="F103" s="3"/>
      <c r="G103" s="3"/>
      <c r="H103" s="3"/>
      <c r="I103" s="5"/>
      <c r="J103" s="39"/>
      <c r="L103" s="387"/>
    </row>
    <row r="104" spans="2:17" ht="18.75" outlineLevel="1" thickBot="1">
      <c r="B104" s="515" t="s">
        <v>89</v>
      </c>
      <c r="C104" s="516">
        <v>2004</v>
      </c>
      <c r="D104" s="517"/>
      <c r="E104" s="518" t="s">
        <v>90</v>
      </c>
      <c r="F104" s="519">
        <f>SUM(F105:F109)</f>
        <v>7733378</v>
      </c>
      <c r="G104" s="519">
        <f>SUM(G105:G109)</f>
        <v>1100341.115243699</v>
      </c>
      <c r="H104" s="520"/>
      <c r="I104" s="521">
        <v>0.75</v>
      </c>
      <c r="J104" s="43"/>
      <c r="L104" s="388"/>
      <c r="Q104"/>
    </row>
    <row r="105" spans="2:18" ht="18" hidden="1" outlineLevel="2">
      <c r="B105" s="435" t="s">
        <v>94</v>
      </c>
      <c r="C105" s="23">
        <v>2004</v>
      </c>
      <c r="D105" s="304" t="s">
        <v>93</v>
      </c>
      <c r="E105" s="304" t="s">
        <v>336</v>
      </c>
      <c r="F105" s="24">
        <v>1946152</v>
      </c>
      <c r="G105" s="24">
        <f>P105*N105</f>
        <v>167015.05000908353</v>
      </c>
      <c r="H105" s="25"/>
      <c r="I105" s="262"/>
      <c r="L105" s="354"/>
      <c r="N105" s="232">
        <f>F105*Q105</f>
        <v>1459614</v>
      </c>
      <c r="O105" s="233">
        <v>5</v>
      </c>
      <c r="P105" s="407">
        <f>AND!$C$6/(AND!C6+AND!C7+AND!C10+AND!C12+AND!C13)</f>
        <v>0.1144241217260752</v>
      </c>
      <c r="Q105" s="16">
        <v>0.75</v>
      </c>
      <c r="R105" s="39" t="s">
        <v>64</v>
      </c>
    </row>
    <row r="106" spans="2:18" ht="18" hidden="1" outlineLevel="2">
      <c r="B106" s="411" t="s">
        <v>349</v>
      </c>
      <c r="C106" s="20">
        <v>2004</v>
      </c>
      <c r="D106" s="305" t="s">
        <v>300</v>
      </c>
      <c r="E106" s="305" t="s">
        <v>350</v>
      </c>
      <c r="F106" s="21">
        <v>848232</v>
      </c>
      <c r="G106" s="21">
        <f>F106-N106</f>
        <v>636174</v>
      </c>
      <c r="H106" s="22"/>
      <c r="I106" s="19">
        <f>G106/F106</f>
        <v>0.75</v>
      </c>
      <c r="L106" s="354"/>
      <c r="N106">
        <v>212058</v>
      </c>
      <c r="O106" t="s">
        <v>300</v>
      </c>
      <c r="P106" s="406">
        <v>1</v>
      </c>
      <c r="Q106"/>
      <c r="R106" s="39" t="s">
        <v>64</v>
      </c>
    </row>
    <row r="107" spans="2:18" ht="27.75" customHeight="1" hidden="1" outlineLevel="2">
      <c r="B107" s="257" t="s">
        <v>304</v>
      </c>
      <c r="C107" s="20">
        <v>2004</v>
      </c>
      <c r="D107" s="413" t="s">
        <v>356</v>
      </c>
      <c r="E107" s="305" t="s">
        <v>350</v>
      </c>
      <c r="F107" s="20">
        <v>2423889</v>
      </c>
      <c r="G107" s="352">
        <f>N107*P107</f>
        <v>147978.42345</v>
      </c>
      <c r="H107" s="22"/>
      <c r="I107" s="19"/>
      <c r="L107" s="354"/>
      <c r="N107" s="232">
        <f>F107*Q107</f>
        <v>1817916.75</v>
      </c>
      <c r="O107" s="233" t="s">
        <v>218</v>
      </c>
      <c r="P107" s="410">
        <v>0.0814</v>
      </c>
      <c r="Q107" s="16">
        <v>0.75</v>
      </c>
      <c r="R107" s="39"/>
    </row>
    <row r="108" spans="2:18" ht="18" hidden="1" outlineLevel="2">
      <c r="B108" s="257" t="s">
        <v>354</v>
      </c>
      <c r="C108" s="20">
        <v>2004</v>
      </c>
      <c r="D108" s="305" t="s">
        <v>12</v>
      </c>
      <c r="E108" s="305" t="s">
        <v>337</v>
      </c>
      <c r="F108" s="20">
        <v>1302537</v>
      </c>
      <c r="G108" s="352">
        <f>N108*P108</f>
        <v>75146.36538461539</v>
      </c>
      <c r="H108" s="22"/>
      <c r="I108" s="19">
        <f>G108/F108</f>
        <v>0.057692307692307696</v>
      </c>
      <c r="L108" s="354"/>
      <c r="N108" s="232">
        <f>F108*Q108</f>
        <v>976902.75</v>
      </c>
      <c r="O108" s="233">
        <v>13</v>
      </c>
      <c r="P108" s="410">
        <f>1/O108</f>
        <v>0.07692307692307693</v>
      </c>
      <c r="Q108" s="16">
        <v>0.75</v>
      </c>
      <c r="R108" s="39" t="s">
        <v>64</v>
      </c>
    </row>
    <row r="109" spans="2:19" ht="30" hidden="1" outlineLevel="2" thickBot="1">
      <c r="B109" s="257" t="s">
        <v>96</v>
      </c>
      <c r="C109" s="20">
        <v>2004</v>
      </c>
      <c r="D109" s="305" t="s">
        <v>167</v>
      </c>
      <c r="E109" s="413" t="s">
        <v>97</v>
      </c>
      <c r="F109" s="20">
        <v>1212568</v>
      </c>
      <c r="G109" s="352">
        <f>N109*P109</f>
        <v>74027.2764</v>
      </c>
      <c r="H109" s="22"/>
      <c r="I109" s="19"/>
      <c r="L109" s="354"/>
      <c r="N109" s="232">
        <f>F109*Q109</f>
        <v>909426</v>
      </c>
      <c r="O109" s="233" t="s">
        <v>218</v>
      </c>
      <c r="P109" s="410">
        <v>0.0814</v>
      </c>
      <c r="Q109" s="16">
        <v>0.75</v>
      </c>
      <c r="S109" s="39"/>
    </row>
    <row r="110" spans="2:17" ht="18.75" outlineLevel="1" collapsed="1" thickBot="1">
      <c r="B110" s="515" t="s">
        <v>89</v>
      </c>
      <c r="C110" s="516" t="s">
        <v>340</v>
      </c>
      <c r="D110" s="517"/>
      <c r="E110" s="518" t="s">
        <v>90</v>
      </c>
      <c r="F110" s="516">
        <f>G110*100/75</f>
        <v>901336.4946594419</v>
      </c>
      <c r="G110" s="519">
        <f>SUM(G111:G116)</f>
        <v>676002.3709945814</v>
      </c>
      <c r="H110" s="520"/>
      <c r="I110" s="521">
        <v>0.75</v>
      </c>
      <c r="L110" s="354"/>
      <c r="M110" s="238"/>
      <c r="N110" s="12">
        <f aca="true" t="shared" si="4" ref="N110:N116">F110*Q110</f>
        <v>0</v>
      </c>
      <c r="O110" s="42" t="s">
        <v>64</v>
      </c>
      <c r="Q110" s="409"/>
    </row>
    <row r="111" spans="2:17" ht="30.75" hidden="1" outlineLevel="2">
      <c r="B111" s="435" t="s">
        <v>98</v>
      </c>
      <c r="C111" s="23">
        <v>2005</v>
      </c>
      <c r="D111" s="304" t="s">
        <v>167</v>
      </c>
      <c r="E111" s="304" t="s">
        <v>355</v>
      </c>
      <c r="F111" s="522">
        <v>1931166</v>
      </c>
      <c r="G111" s="522">
        <f>N111*P111</f>
        <v>273342.5172445813</v>
      </c>
      <c r="H111" s="25"/>
      <c r="I111" s="262" t="s">
        <v>25</v>
      </c>
      <c r="L111" s="354"/>
      <c r="M111" s="39" t="s">
        <v>64</v>
      </c>
      <c r="N111" s="232">
        <f t="shared" si="4"/>
        <v>1448374.5</v>
      </c>
      <c r="O111" s="233">
        <v>4</v>
      </c>
      <c r="P111" s="412">
        <f>AND!$C$6/(AND!C6+AND!C8+AND!C10+AND!C12)</f>
        <v>0.18872364657385318</v>
      </c>
      <c r="Q111" s="16">
        <v>0.75</v>
      </c>
    </row>
    <row r="112" spans="2:17" ht="30.75" hidden="1" outlineLevel="2">
      <c r="B112" s="257" t="s">
        <v>99</v>
      </c>
      <c r="C112" s="20">
        <v>2005</v>
      </c>
      <c r="D112" s="305" t="s">
        <v>167</v>
      </c>
      <c r="E112" s="305" t="s">
        <v>338</v>
      </c>
      <c r="F112" s="352">
        <v>2088787</v>
      </c>
      <c r="G112" s="352">
        <f>N112*P112</f>
        <v>127520.44635</v>
      </c>
      <c r="H112" s="22"/>
      <c r="I112" s="19"/>
      <c r="L112" s="354"/>
      <c r="N112" s="232">
        <f t="shared" si="4"/>
        <v>1566590.25</v>
      </c>
      <c r="O112" s="233" t="s">
        <v>218</v>
      </c>
      <c r="P112" s="410">
        <v>0.0814</v>
      </c>
      <c r="Q112" s="16">
        <v>0.75</v>
      </c>
    </row>
    <row r="113" spans="2:17" ht="18" hidden="1" outlineLevel="2">
      <c r="B113" s="257" t="s">
        <v>102</v>
      </c>
      <c r="C113" s="20">
        <v>2005</v>
      </c>
      <c r="D113" s="305" t="s">
        <v>167</v>
      </c>
      <c r="E113" s="305" t="s">
        <v>103</v>
      </c>
      <c r="F113" s="352">
        <v>1350908</v>
      </c>
      <c r="H113" s="22"/>
      <c r="I113" s="19" t="s">
        <v>25</v>
      </c>
      <c r="L113" s="354"/>
      <c r="N113" s="232">
        <f t="shared" si="4"/>
        <v>1013181</v>
      </c>
      <c r="O113" s="233">
        <v>8</v>
      </c>
      <c r="P113" s="410">
        <f>1/O113</f>
        <v>0.125</v>
      </c>
      <c r="Q113" s="16">
        <v>0.75</v>
      </c>
    </row>
    <row r="114" spans="2:18" ht="30.75" hidden="1" outlineLevel="2">
      <c r="B114" s="257" t="s">
        <v>100</v>
      </c>
      <c r="C114" s="20">
        <v>2005</v>
      </c>
      <c r="D114" s="305" t="s">
        <v>167</v>
      </c>
      <c r="E114" s="305" t="s">
        <v>355</v>
      </c>
      <c r="F114" s="352">
        <v>1332883</v>
      </c>
      <c r="G114" s="352">
        <f>N114*P114</f>
        <v>81372.50715</v>
      </c>
      <c r="H114" s="22"/>
      <c r="I114" s="19"/>
      <c r="L114" s="354"/>
      <c r="N114" s="232">
        <f t="shared" si="4"/>
        <v>999662.25</v>
      </c>
      <c r="O114" s="233" t="s">
        <v>218</v>
      </c>
      <c r="P114" s="410">
        <v>0.0814</v>
      </c>
      <c r="Q114" s="16">
        <v>0.75</v>
      </c>
      <c r="R114" s="39" t="s">
        <v>64</v>
      </c>
    </row>
    <row r="115" spans="2:18" ht="30.75" hidden="1" outlineLevel="2">
      <c r="B115" s="257" t="s">
        <v>101</v>
      </c>
      <c r="C115" s="20">
        <v>2005</v>
      </c>
      <c r="D115" s="305" t="s">
        <v>167</v>
      </c>
      <c r="E115" s="305" t="s">
        <v>355</v>
      </c>
      <c r="F115" s="352">
        <v>1394206</v>
      </c>
      <c r="G115" s="352">
        <f>N115*P115</f>
        <v>85116.2763</v>
      </c>
      <c r="H115" s="22"/>
      <c r="I115" s="19"/>
      <c r="L115" s="354"/>
      <c r="N115" s="232">
        <f t="shared" si="4"/>
        <v>1045654.5</v>
      </c>
      <c r="O115" s="233" t="s">
        <v>218</v>
      </c>
      <c r="P115" s="410">
        <v>0.0814</v>
      </c>
      <c r="Q115" s="16">
        <v>0.75</v>
      </c>
      <c r="R115" s="39" t="s">
        <v>64</v>
      </c>
    </row>
    <row r="116" spans="2:18" ht="18" hidden="1" outlineLevel="2">
      <c r="B116" s="257" t="s">
        <v>104</v>
      </c>
      <c r="C116" s="20">
        <v>2005</v>
      </c>
      <c r="D116" s="305" t="s">
        <v>167</v>
      </c>
      <c r="E116" s="305" t="s">
        <v>339</v>
      </c>
      <c r="F116" s="352">
        <v>1779699</v>
      </c>
      <c r="G116" s="352">
        <f>N116*P116</f>
        <v>108650.62395</v>
      </c>
      <c r="H116" s="22"/>
      <c r="I116" s="19"/>
      <c r="L116" s="354"/>
      <c r="N116" s="232">
        <f t="shared" si="4"/>
        <v>1334774.25</v>
      </c>
      <c r="O116" s="233" t="s">
        <v>218</v>
      </c>
      <c r="P116" s="410">
        <v>0.0814</v>
      </c>
      <c r="Q116" s="16">
        <v>0.75</v>
      </c>
      <c r="R116" s="39" t="s">
        <v>64</v>
      </c>
    </row>
    <row r="117" spans="2:17" s="2" customFormat="1" ht="18" outlineLevel="1" collapsed="1">
      <c r="B117" s="3"/>
      <c r="C117" s="3"/>
      <c r="D117" s="306"/>
      <c r="E117" s="306"/>
      <c r="F117" s="3"/>
      <c r="G117" s="3"/>
      <c r="H117" s="3"/>
      <c r="I117" s="5"/>
      <c r="J117" s="39"/>
      <c r="L117" s="389"/>
      <c r="Q117" s="14"/>
    </row>
    <row r="118" spans="2:12" ht="28.5" customHeight="1">
      <c r="B118" s="368" t="s">
        <v>315</v>
      </c>
      <c r="C118" s="369" t="s">
        <v>127</v>
      </c>
      <c r="D118" s="370" t="s">
        <v>316</v>
      </c>
      <c r="E118" s="394" t="s">
        <v>333</v>
      </c>
      <c r="F118" s="396" t="s">
        <v>317</v>
      </c>
      <c r="G118" s="371" t="s">
        <v>17</v>
      </c>
      <c r="H118" s="372">
        <f>SUM(G119:G128)</f>
        <v>116100</v>
      </c>
      <c r="I118" s="373"/>
      <c r="J118" s="43"/>
      <c r="L118" s="385">
        <f>H118/$H$160</f>
        <v>0.0003771993274839657</v>
      </c>
    </row>
    <row r="119" spans="2:17" s="2" customFormat="1" ht="12.75" customHeight="1" hidden="1" outlineLevel="1">
      <c r="B119" s="276" t="s">
        <v>318</v>
      </c>
      <c r="C119" s="258">
        <v>2000</v>
      </c>
      <c r="D119" s="319"/>
      <c r="E119" s="320"/>
      <c r="F119" s="274">
        <v>1</v>
      </c>
      <c r="G119" s="275">
        <v>3800</v>
      </c>
      <c r="H119" s="265"/>
      <c r="I119" s="13"/>
      <c r="J119" s="43"/>
      <c r="L119" s="386"/>
      <c r="Q119" s="14"/>
    </row>
    <row r="120" spans="2:17" s="2" customFormat="1" ht="12.75" customHeight="1" hidden="1" outlineLevel="1">
      <c r="B120" s="276" t="s">
        <v>318</v>
      </c>
      <c r="C120" s="258">
        <v>2001</v>
      </c>
      <c r="D120" s="319"/>
      <c r="E120" s="320"/>
      <c r="F120" s="272">
        <v>2</v>
      </c>
      <c r="G120" s="273">
        <v>7700</v>
      </c>
      <c r="H120" s="265"/>
      <c r="I120" s="13"/>
      <c r="J120" s="43"/>
      <c r="L120" s="386"/>
      <c r="Q120" s="14"/>
    </row>
    <row r="121" spans="2:17" s="2" customFormat="1" ht="12.75" customHeight="1" hidden="1" outlineLevel="1">
      <c r="B121" s="276" t="s">
        <v>318</v>
      </c>
      <c r="C121" s="258">
        <v>2002</v>
      </c>
      <c r="D121" s="319"/>
      <c r="E121" s="320"/>
      <c r="F121" s="272">
        <v>1</v>
      </c>
      <c r="G121" s="273">
        <v>4200</v>
      </c>
      <c r="H121" s="265"/>
      <c r="I121" s="13"/>
      <c r="J121" s="43"/>
      <c r="L121" s="386"/>
      <c r="Q121" s="14"/>
    </row>
    <row r="122" spans="2:17" s="2" customFormat="1" ht="12.75" customHeight="1" hidden="1" outlineLevel="1">
      <c r="B122" s="276" t="s">
        <v>318</v>
      </c>
      <c r="C122" s="258">
        <v>2003</v>
      </c>
      <c r="D122" s="319"/>
      <c r="E122" s="320"/>
      <c r="F122" s="272">
        <v>2</v>
      </c>
      <c r="G122" s="273">
        <v>8400</v>
      </c>
      <c r="H122" s="265"/>
      <c r="I122" s="13"/>
      <c r="J122" s="43"/>
      <c r="L122" s="386"/>
      <c r="Q122" s="14"/>
    </row>
    <row r="123" spans="2:17" s="2" customFormat="1" ht="12.75" customHeight="1" hidden="1" outlineLevel="1">
      <c r="B123" s="276" t="s">
        <v>318</v>
      </c>
      <c r="C123" s="258">
        <v>2004</v>
      </c>
      <c r="D123" s="319"/>
      <c r="E123" s="320"/>
      <c r="F123" s="272">
        <v>3</v>
      </c>
      <c r="G123" s="273">
        <v>13500</v>
      </c>
      <c r="H123" s="265"/>
      <c r="I123" s="13"/>
      <c r="J123" s="43"/>
      <c r="L123" s="386"/>
      <c r="Q123" s="14"/>
    </row>
    <row r="124" spans="2:17" s="2" customFormat="1" ht="12.75" customHeight="1" hidden="1" outlineLevel="1">
      <c r="B124" s="276" t="s">
        <v>318</v>
      </c>
      <c r="C124" s="258">
        <v>2005</v>
      </c>
      <c r="D124" s="319"/>
      <c r="E124" s="320"/>
      <c r="F124" s="272">
        <v>5</v>
      </c>
      <c r="G124" s="273">
        <v>25500</v>
      </c>
      <c r="H124" s="265"/>
      <c r="I124" s="13"/>
      <c r="J124" s="43"/>
      <c r="L124" s="386"/>
      <c r="Q124" s="14"/>
    </row>
    <row r="125" spans="2:17" s="2" customFormat="1" ht="12.75" customHeight="1" hidden="1" outlineLevel="1">
      <c r="B125" s="276" t="s">
        <v>318</v>
      </c>
      <c r="C125" s="258">
        <v>2006</v>
      </c>
      <c r="D125" s="319"/>
      <c r="E125" s="320"/>
      <c r="F125" s="272">
        <v>2</v>
      </c>
      <c r="G125" s="273">
        <v>10400</v>
      </c>
      <c r="H125" s="265"/>
      <c r="I125" s="13"/>
      <c r="J125" s="43"/>
      <c r="L125" s="386"/>
      <c r="Q125" s="14"/>
    </row>
    <row r="126" spans="2:17" s="2" customFormat="1" ht="12.75" customHeight="1" hidden="1" outlineLevel="1">
      <c r="B126" s="276" t="s">
        <v>318</v>
      </c>
      <c r="C126" s="258">
        <v>2007</v>
      </c>
      <c r="D126" s="319"/>
      <c r="E126" s="320"/>
      <c r="F126" s="272">
        <v>1</v>
      </c>
      <c r="G126" s="273">
        <v>5200</v>
      </c>
      <c r="H126" s="265"/>
      <c r="I126" s="13"/>
      <c r="J126" s="43"/>
      <c r="L126" s="386"/>
      <c r="Q126" s="14"/>
    </row>
    <row r="127" spans="2:17" s="2" customFormat="1" ht="12.75" customHeight="1" hidden="1" outlineLevel="1">
      <c r="B127" s="276" t="s">
        <v>318</v>
      </c>
      <c r="C127" s="258">
        <v>2008</v>
      </c>
      <c r="D127" s="319"/>
      <c r="E127" s="320"/>
      <c r="F127" s="272">
        <v>3</v>
      </c>
      <c r="G127" s="273">
        <v>15600</v>
      </c>
      <c r="H127" s="265"/>
      <c r="I127" s="13"/>
      <c r="J127" s="43"/>
      <c r="L127" s="386"/>
      <c r="Q127" s="14"/>
    </row>
    <row r="128" spans="2:17" s="2" customFormat="1" ht="12.75" customHeight="1" hidden="1" outlineLevel="1">
      <c r="B128" s="276" t="s">
        <v>318</v>
      </c>
      <c r="C128" s="258">
        <v>2009</v>
      </c>
      <c r="D128" s="319"/>
      <c r="E128" s="320"/>
      <c r="F128" s="272">
        <v>4</v>
      </c>
      <c r="G128" s="273">
        <v>21800</v>
      </c>
      <c r="H128" s="265"/>
      <c r="I128" s="13"/>
      <c r="J128" s="43"/>
      <c r="L128" s="386"/>
      <c r="Q128" s="14"/>
    </row>
    <row r="129" spans="2:17" s="2" customFormat="1" ht="12.75" customHeight="1" hidden="1" outlineLevel="1">
      <c r="B129" s="271"/>
      <c r="C129" s="27"/>
      <c r="D129" s="318"/>
      <c r="E129" s="281" t="s">
        <v>322</v>
      </c>
      <c r="F129" s="284">
        <f>SUM(F119:F128)</f>
        <v>24</v>
      </c>
      <c r="G129" s="280"/>
      <c r="H129" s="265"/>
      <c r="I129" s="13"/>
      <c r="J129" s="43"/>
      <c r="L129" s="386"/>
      <c r="Q129" s="14"/>
    </row>
    <row r="130" spans="2:12" ht="12.75" customHeight="1" collapsed="1">
      <c r="B130" s="60"/>
      <c r="C130" s="194"/>
      <c r="D130" s="222"/>
      <c r="E130" s="222"/>
      <c r="F130" s="10"/>
      <c r="G130" s="10"/>
      <c r="H130" s="26"/>
      <c r="I130" s="11"/>
      <c r="J130" s="39"/>
      <c r="L130" s="354"/>
    </row>
    <row r="131" spans="2:12" ht="18">
      <c r="B131" s="374" t="s">
        <v>301</v>
      </c>
      <c r="C131" s="375" t="s">
        <v>127</v>
      </c>
      <c r="D131" s="376" t="s">
        <v>319</v>
      </c>
      <c r="E131" s="393" t="s">
        <v>334</v>
      </c>
      <c r="F131" s="395" t="s">
        <v>317</v>
      </c>
      <c r="G131" s="575" t="s">
        <v>17</v>
      </c>
      <c r="H131" s="377">
        <f>SUM(G132:G141)</f>
        <v>1944925.671108</v>
      </c>
      <c r="I131" s="378"/>
      <c r="J131" s="43"/>
      <c r="L131" s="385">
        <f>H131/$H$160</f>
        <v>0.006318903145118332</v>
      </c>
    </row>
    <row r="132" spans="2:17" s="2" customFormat="1" ht="12.75" customHeight="1" hidden="1" outlineLevel="1">
      <c r="B132" s="264"/>
      <c r="C132" s="258">
        <v>2000</v>
      </c>
      <c r="D132" s="319"/>
      <c r="E132" s="320"/>
      <c r="F132" s="278">
        <f>Leonardo!B9</f>
        <v>32.4786</v>
      </c>
      <c r="G132" s="277">
        <f>Leonardo!C9</f>
        <v>68205.06</v>
      </c>
      <c r="H132" s="265"/>
      <c r="I132" s="13"/>
      <c r="J132" s="43"/>
      <c r="L132" s="386"/>
      <c r="Q132" s="14"/>
    </row>
    <row r="133" spans="2:17" s="2" customFormat="1" ht="12.75" customHeight="1" hidden="1" outlineLevel="1">
      <c r="B133" s="264"/>
      <c r="C133" s="258">
        <v>2001</v>
      </c>
      <c r="D133" s="319"/>
      <c r="E133" s="320"/>
      <c r="F133" s="278">
        <f>Leonardo!B15</f>
        <v>47.2934</v>
      </c>
      <c r="G133" s="277">
        <f>Leonardo!C15</f>
        <v>99316.14</v>
      </c>
      <c r="H133" s="265"/>
      <c r="I133" s="13"/>
      <c r="J133" s="43"/>
      <c r="L133" s="386"/>
      <c r="Q133" s="14"/>
    </row>
    <row r="134" spans="2:17" s="2" customFormat="1" ht="12.75" customHeight="1" hidden="1" outlineLevel="1">
      <c r="B134" s="264"/>
      <c r="C134" s="258">
        <v>2002</v>
      </c>
      <c r="D134" s="319"/>
      <c r="E134" s="320"/>
      <c r="F134" s="278">
        <f>Leonardo!B21</f>
        <v>48.2702</v>
      </c>
      <c r="G134" s="277">
        <f>Leonardo!C21</f>
        <v>101367.42000000001</v>
      </c>
      <c r="H134" s="265"/>
      <c r="I134" s="13"/>
      <c r="J134" s="43"/>
      <c r="L134" s="386"/>
      <c r="Q134" s="14"/>
    </row>
    <row r="135" spans="2:17" s="2" customFormat="1" ht="12.75" customHeight="1" hidden="1" outlineLevel="1">
      <c r="B135" s="264"/>
      <c r="C135" s="258">
        <v>2003</v>
      </c>
      <c r="D135" s="319"/>
      <c r="E135" s="320"/>
      <c r="F135" s="278">
        <f>Leonardo!B27</f>
        <v>56.4916</v>
      </c>
      <c r="G135" s="277">
        <f>Leonardo!C27</f>
        <v>118632.36</v>
      </c>
      <c r="H135" s="265"/>
      <c r="I135" s="13"/>
      <c r="J135" s="43"/>
      <c r="L135" s="386"/>
      <c r="Q135" s="14"/>
    </row>
    <row r="136" spans="2:17" s="2" customFormat="1" ht="12.75" customHeight="1" hidden="1" outlineLevel="1">
      <c r="B136" s="264"/>
      <c r="C136" s="258">
        <v>2004</v>
      </c>
      <c r="D136" s="319"/>
      <c r="E136" s="320"/>
      <c r="F136" s="278">
        <f>Leonardo!B33</f>
        <v>77.0858</v>
      </c>
      <c r="G136" s="277">
        <f>Leonardo!C33</f>
        <v>161880.18000000002</v>
      </c>
      <c r="H136" s="265"/>
      <c r="I136" s="13"/>
      <c r="J136" s="43"/>
      <c r="L136" s="386"/>
      <c r="Q136" s="14"/>
    </row>
    <row r="137" spans="2:17" s="2" customFormat="1" ht="12.75" customHeight="1" hidden="1" outlineLevel="1">
      <c r="B137" s="264"/>
      <c r="C137" s="258">
        <v>2005</v>
      </c>
      <c r="D137" s="319"/>
      <c r="E137" s="320"/>
      <c r="F137" s="278">
        <f>Leonardo!B39+Leonardo!B40</f>
        <v>112.2506</v>
      </c>
      <c r="G137" s="277">
        <f>Leonardo!C40+Leonardo!C39</f>
        <v>232593.26</v>
      </c>
      <c r="H137" s="265"/>
      <c r="I137" s="13"/>
      <c r="J137" s="43"/>
      <c r="L137" s="386"/>
      <c r="Q137" s="14"/>
    </row>
    <row r="138" spans="2:17" s="2" customFormat="1" ht="12.75" customHeight="1" hidden="1" outlineLevel="1">
      <c r="B138" s="264"/>
      <c r="C138" s="258">
        <v>2006</v>
      </c>
      <c r="D138" s="319"/>
      <c r="E138" s="320"/>
      <c r="F138" s="278">
        <f>Leonardo!B46+Leonardo!B47</f>
        <v>126.4142</v>
      </c>
      <c r="G138" s="277">
        <f>Leonardo!C46+Leonardo!C47</f>
        <v>291942.81999999995</v>
      </c>
      <c r="H138" s="265"/>
      <c r="I138" s="13"/>
      <c r="J138" s="43"/>
      <c r="L138" s="386"/>
      <c r="Q138" s="14"/>
    </row>
    <row r="139" spans="2:17" s="2" customFormat="1" ht="12.75" customHeight="1" hidden="1" outlineLevel="1">
      <c r="B139" s="264"/>
      <c r="C139" s="258">
        <v>2007</v>
      </c>
      <c r="D139" s="319"/>
      <c r="E139" s="320"/>
      <c r="F139" s="278">
        <f>Leonardo!B53+Leonardo!B54</f>
        <v>189.0922</v>
      </c>
      <c r="G139" s="277">
        <f>Leonardo!C53+Leonardo!C54</f>
        <v>442292.22</v>
      </c>
      <c r="H139" s="265"/>
      <c r="I139" s="13"/>
      <c r="J139" s="43"/>
      <c r="L139" s="386"/>
      <c r="Q139" s="14"/>
    </row>
    <row r="140" spans="2:17" s="2" customFormat="1" ht="12.75" customHeight="1" hidden="1" outlineLevel="1">
      <c r="B140" s="264"/>
      <c r="C140" s="258">
        <v>2008</v>
      </c>
      <c r="D140" s="319"/>
      <c r="E140" s="320"/>
      <c r="F140" s="278">
        <f>Leonardo!B60+Leonardo!B61</f>
        <v>110.0528</v>
      </c>
      <c r="G140" s="277">
        <f>Leonardo!C60+Leonardo!C61</f>
        <v>196876.9704</v>
      </c>
      <c r="H140" s="265"/>
      <c r="I140" s="13"/>
      <c r="J140" s="43"/>
      <c r="L140" s="386"/>
      <c r="Q140" s="14"/>
    </row>
    <row r="141" spans="2:17" s="2" customFormat="1" ht="12.75" customHeight="1" hidden="1" outlineLevel="1">
      <c r="B141" s="264"/>
      <c r="C141" s="258">
        <v>2009</v>
      </c>
      <c r="D141" s="319"/>
      <c r="E141" s="320"/>
      <c r="F141" s="278">
        <f>Leonardo!B67+Leonardo!B68</f>
        <v>90.6796</v>
      </c>
      <c r="G141" s="277">
        <f>Leonardo!C67+Leonardo!C68</f>
        <v>231819.24070800003</v>
      </c>
      <c r="H141" s="265"/>
      <c r="I141" s="13"/>
      <c r="J141" s="43"/>
      <c r="L141" s="386"/>
      <c r="Q141" s="14"/>
    </row>
    <row r="142" spans="2:17" s="2" customFormat="1" ht="12.75" customHeight="1" hidden="1" outlineLevel="1">
      <c r="B142" s="264"/>
      <c r="C142" s="27"/>
      <c r="D142" s="318"/>
      <c r="E142" s="306"/>
      <c r="F142" s="43">
        <f>SUM(F132:F141)</f>
        <v>890.1090000000002</v>
      </c>
      <c r="G142" s="279"/>
      <c r="H142" s="265"/>
      <c r="I142" s="13"/>
      <c r="J142" s="43"/>
      <c r="L142" s="386"/>
      <c r="Q142" s="14"/>
    </row>
    <row r="143" spans="2:12" ht="13.5" customHeight="1" collapsed="1" thickBot="1">
      <c r="B143" s="60"/>
      <c r="C143" s="10"/>
      <c r="D143" s="222"/>
      <c r="E143" s="222"/>
      <c r="F143" s="10"/>
      <c r="G143" s="10"/>
      <c r="H143" s="26"/>
      <c r="I143" s="11"/>
      <c r="J143" s="39"/>
      <c r="L143" s="354"/>
    </row>
    <row r="144" spans="2:12" ht="32.25" thickBot="1">
      <c r="B144" s="221" t="s">
        <v>263</v>
      </c>
      <c r="C144" s="218" t="s">
        <v>264</v>
      </c>
      <c r="D144" s="321" t="s">
        <v>265</v>
      </c>
      <c r="E144" s="322" t="s">
        <v>267</v>
      </c>
      <c r="F144" s="219" t="s">
        <v>268</v>
      </c>
      <c r="G144" s="290"/>
      <c r="H144" s="286">
        <f>SUM(G145:G157)</f>
        <v>850070.9099999999</v>
      </c>
      <c r="I144" s="220"/>
      <c r="J144" s="43"/>
      <c r="L144" s="385">
        <f>H144/$H$160</f>
        <v>0.0027618102977233655</v>
      </c>
    </row>
    <row r="145" spans="2:10" ht="15.75" hidden="1" outlineLevel="1">
      <c r="B145" s="287" t="s">
        <v>266</v>
      </c>
      <c r="C145" s="288" t="s">
        <v>270</v>
      </c>
      <c r="D145" s="23"/>
      <c r="E145" s="23"/>
      <c r="F145" s="23">
        <v>91</v>
      </c>
      <c r="G145" s="289">
        <v>69205.92</v>
      </c>
      <c r="H145" s="26"/>
      <c r="I145" s="11"/>
      <c r="J145" s="39"/>
    </row>
    <row r="146" spans="2:10" ht="15.75" hidden="1" outlineLevel="1">
      <c r="B146" s="282" t="s">
        <v>269</v>
      </c>
      <c r="C146" s="231" t="s">
        <v>271</v>
      </c>
      <c r="D146" s="20"/>
      <c r="E146" s="20"/>
      <c r="F146" s="20">
        <v>122</v>
      </c>
      <c r="G146" s="283">
        <v>99946</v>
      </c>
      <c r="H146" s="26"/>
      <c r="I146" s="11"/>
      <c r="J146" s="39"/>
    </row>
    <row r="147" spans="2:10" ht="15.75" hidden="1" outlineLevel="1">
      <c r="B147" s="282" t="s">
        <v>273</v>
      </c>
      <c r="C147" s="231" t="s">
        <v>272</v>
      </c>
      <c r="D147" s="20"/>
      <c r="E147" s="20"/>
      <c r="F147" s="20">
        <v>160</v>
      </c>
      <c r="G147" s="283">
        <v>104098</v>
      </c>
      <c r="H147" s="26"/>
      <c r="I147" s="11"/>
      <c r="J147" s="39"/>
    </row>
    <row r="148" spans="2:10" ht="15.75" hidden="1" outlineLevel="1">
      <c r="B148" s="282" t="s">
        <v>274</v>
      </c>
      <c r="C148" s="231" t="s">
        <v>119</v>
      </c>
      <c r="D148" s="20"/>
      <c r="E148" s="20"/>
      <c r="F148" s="20">
        <v>146</v>
      </c>
      <c r="G148" s="283">
        <v>114233</v>
      </c>
      <c r="H148" s="26"/>
      <c r="I148" s="11"/>
      <c r="J148" s="39"/>
    </row>
    <row r="149" spans="2:10" ht="15.75" hidden="1" outlineLevel="1">
      <c r="B149" s="282" t="s">
        <v>275</v>
      </c>
      <c r="C149" s="231" t="s">
        <v>121</v>
      </c>
      <c r="D149" s="20"/>
      <c r="E149" s="20"/>
      <c r="F149" s="20">
        <v>192</v>
      </c>
      <c r="G149" s="283">
        <v>144168</v>
      </c>
      <c r="H149" s="26"/>
      <c r="I149" s="11"/>
      <c r="J149" s="39"/>
    </row>
    <row r="150" spans="2:10" ht="15.75" hidden="1" outlineLevel="1">
      <c r="B150" s="282" t="s">
        <v>276</v>
      </c>
      <c r="C150" s="231" t="s">
        <v>123</v>
      </c>
      <c r="D150" s="20"/>
      <c r="E150" s="20"/>
      <c r="F150" s="20">
        <v>195</v>
      </c>
      <c r="G150" s="283">
        <v>266241</v>
      </c>
      <c r="H150" s="26"/>
      <c r="I150" s="11"/>
      <c r="J150" s="39"/>
    </row>
    <row r="151" spans="2:10" ht="12" customHeight="1" hidden="1" outlineLevel="1">
      <c r="B151" s="60"/>
      <c r="C151" s="10"/>
      <c r="D151" s="10"/>
      <c r="E151" s="281" t="s">
        <v>320</v>
      </c>
      <c r="F151" s="284">
        <f>SUM(F145:F150)</f>
        <v>906</v>
      </c>
      <c r="G151" s="222"/>
      <c r="H151" s="26"/>
      <c r="I151" s="11"/>
      <c r="J151" s="39"/>
    </row>
    <row r="152" spans="2:10" ht="15.75" hidden="1" outlineLevel="1">
      <c r="B152" s="282" t="s">
        <v>277</v>
      </c>
      <c r="C152" s="231" t="s">
        <v>270</v>
      </c>
      <c r="D152" s="20"/>
      <c r="E152" s="20"/>
      <c r="F152" s="20">
        <v>13</v>
      </c>
      <c r="G152" s="283">
        <v>6054</v>
      </c>
      <c r="H152" s="26"/>
      <c r="I152" s="11"/>
      <c r="J152" s="39"/>
    </row>
    <row r="153" spans="2:10" ht="15.75" hidden="1" outlineLevel="1">
      <c r="B153" s="282" t="s">
        <v>278</v>
      </c>
      <c r="C153" s="231" t="s">
        <v>271</v>
      </c>
      <c r="D153" s="20"/>
      <c r="E153" s="20"/>
      <c r="F153" s="20">
        <v>13</v>
      </c>
      <c r="G153" s="283">
        <v>8735</v>
      </c>
      <c r="H153" s="26"/>
      <c r="I153" s="11"/>
      <c r="J153" s="39"/>
    </row>
    <row r="154" spans="2:10" ht="15.75" hidden="1" outlineLevel="1">
      <c r="B154" s="282" t="s">
        <v>279</v>
      </c>
      <c r="C154" s="231" t="s">
        <v>272</v>
      </c>
      <c r="D154" s="20"/>
      <c r="E154" s="20"/>
      <c r="F154" s="20">
        <v>14</v>
      </c>
      <c r="G154" s="283">
        <v>6677.95</v>
      </c>
      <c r="H154" s="26"/>
      <c r="I154" s="11"/>
      <c r="J154" s="39"/>
    </row>
    <row r="155" spans="2:10" ht="15.75" hidden="1" outlineLevel="1">
      <c r="B155" s="282" t="s">
        <v>280</v>
      </c>
      <c r="C155" s="231" t="s">
        <v>119</v>
      </c>
      <c r="D155" s="20"/>
      <c r="E155" s="20"/>
      <c r="F155" s="20">
        <v>16</v>
      </c>
      <c r="G155" s="283">
        <v>9979.5</v>
      </c>
      <c r="H155" s="26"/>
      <c r="I155" s="11"/>
      <c r="J155" s="39"/>
    </row>
    <row r="156" spans="2:10" ht="15.75" hidden="1" outlineLevel="1">
      <c r="B156" s="282" t="s">
        <v>281</v>
      </c>
      <c r="C156" s="231" t="s">
        <v>121</v>
      </c>
      <c r="D156" s="20"/>
      <c r="E156" s="20"/>
      <c r="F156" s="20">
        <v>11</v>
      </c>
      <c r="G156" s="283">
        <v>7812.54</v>
      </c>
      <c r="H156" s="26"/>
      <c r="I156" s="11"/>
      <c r="J156" s="39"/>
    </row>
    <row r="157" spans="2:17" s="2" customFormat="1" ht="15.75" hidden="1" outlineLevel="1">
      <c r="B157" s="282" t="s">
        <v>282</v>
      </c>
      <c r="C157" s="231" t="s">
        <v>123</v>
      </c>
      <c r="D157" s="37"/>
      <c r="E157" s="37"/>
      <c r="F157" s="37">
        <v>19</v>
      </c>
      <c r="G157" s="283">
        <v>12920</v>
      </c>
      <c r="H157" s="3"/>
      <c r="I157" s="3"/>
      <c r="J157" s="39"/>
      <c r="Q157" s="14"/>
    </row>
    <row r="158" spans="2:17" s="2" customFormat="1" ht="15.75" hidden="1" outlineLevel="1">
      <c r="B158" s="195"/>
      <c r="C158" s="194"/>
      <c r="D158" s="3"/>
      <c r="E158" s="281" t="s">
        <v>321</v>
      </c>
      <c r="F158" s="285">
        <f>SUM(F152:F157)</f>
        <v>86</v>
      </c>
      <c r="G158" s="223"/>
      <c r="H158" s="3"/>
      <c r="I158" s="3"/>
      <c r="J158" s="39"/>
      <c r="Q158" s="14"/>
    </row>
    <row r="159" spans="2:17" s="2" customFormat="1" ht="13.5" collapsed="1" thickBot="1">
      <c r="B159" s="3"/>
      <c r="C159" s="194"/>
      <c r="D159" s="3"/>
      <c r="E159" s="3"/>
      <c r="F159" s="3"/>
      <c r="G159" s="3"/>
      <c r="H159" s="3"/>
      <c r="I159" s="3"/>
      <c r="J159" s="39"/>
      <c r="Q159" s="14"/>
    </row>
    <row r="160" spans="2:12" ht="18.75" thickBot="1">
      <c r="B160" s="15" t="s">
        <v>312</v>
      </c>
      <c r="F160" s="266" t="s">
        <v>313</v>
      </c>
      <c r="G160" s="267"/>
      <c r="H160" s="228">
        <f>SUM(H5:H144)</f>
        <v>307794822.36732054</v>
      </c>
      <c r="I160" s="236"/>
      <c r="J160" s="39"/>
      <c r="L160" s="229">
        <f>H160/$H$160</f>
        <v>1</v>
      </c>
    </row>
    <row r="161" spans="6:14" ht="15">
      <c r="F161" s="268"/>
      <c r="G161" s="268"/>
      <c r="H161" s="269" t="s">
        <v>314</v>
      </c>
      <c r="I161" s="270">
        <f>H160/'[2]FFEUR-2000-2009'!$G$34/1000000</f>
        <v>0.14332303783184397</v>
      </c>
      <c r="J161" s="14"/>
      <c r="K161" s="14"/>
      <c r="N161">
        <v>2100000000</v>
      </c>
    </row>
    <row r="163" ht="12.75"/>
    <row r="164" ht="12.75"/>
    <row r="165" ht="12.75"/>
    <row r="166" ht="12.75"/>
    <row r="167" ht="12.75"/>
    <row r="168" ht="12.75"/>
    <row r="169" ht="12.75"/>
    <row r="170" ht="12.75"/>
    <row r="172" ht="12.75"/>
    <row r="173" ht="12.75"/>
    <row r="174" ht="12.75"/>
    <row r="175" ht="12.75"/>
    <row r="177" ht="12.75"/>
    <row r="178" ht="12.75"/>
    <row r="179" ht="12.75"/>
    <row r="181" ht="12.75"/>
    <row r="182" ht="12.75"/>
    <row r="183" ht="12.75"/>
    <row r="184" ht="12.75"/>
    <row r="185" ht="12.75"/>
    <row r="186" ht="12.75"/>
    <row r="187" ht="12.75"/>
    <row r="188" ht="12.75"/>
    <row r="189" ht="12.75"/>
    <row r="190" ht="12.75"/>
    <row r="191" ht="12.75"/>
    <row r="193" ht="12.75"/>
    <row r="194" ht="12.75"/>
    <row r="195" ht="12.75"/>
    <row r="196" ht="12.75"/>
    <row r="197" ht="12.75"/>
    <row r="198" ht="12.75"/>
    <row r="209" ht="12.75"/>
    <row r="210" ht="12.75"/>
    <row r="211" ht="12.75"/>
    <row r="212" ht="12.75"/>
  </sheetData>
  <sheetProtection selectLockedCells="1" selectUnlockedCells="1"/>
  <mergeCells count="1">
    <mergeCell ref="B2:F2"/>
  </mergeCells>
  <hyperlinks>
    <hyperlink ref="B106" r:id="rId1" display="TIC@L_Tecnologías de la Información y Comunicación en el Almanzora"/>
  </hyperlinks>
  <printOptions/>
  <pageMargins left="0.49" right="0.31" top="0.73" bottom="0.39" header="0.24" footer="0.29"/>
  <pageSetup fitToHeight="5" fitToWidth="1" horizontalDpi="300" verticalDpi="300" orientation="landscape" paperSize="9" scale="58" r:id="rId5"/>
  <headerFooter alignWithMargins="0">
    <oddFooter>&amp;R&amp;8&amp;F &amp;D &amp;P/&amp;N</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B4:AB111"/>
  <sheetViews>
    <sheetView tabSelected="1" zoomScale="77" zoomScaleNormal="77" workbookViewId="0" topLeftCell="F7">
      <selection activeCell="Y83" sqref="Y83"/>
    </sheetView>
  </sheetViews>
  <sheetFormatPr defaultColWidth="11.421875" defaultRowHeight="12.75" outlineLevelCol="2"/>
  <cols>
    <col min="1" max="1" width="1.28515625" style="0" customWidth="1"/>
    <col min="2" max="2" width="5.57421875" style="0" customWidth="1"/>
    <col min="3" max="3" width="4.421875" style="0" customWidth="1"/>
    <col min="4" max="4" width="12.140625" style="0" bestFit="1" customWidth="1"/>
    <col min="5" max="5" width="11.7109375" style="0" bestFit="1" customWidth="1"/>
    <col min="6" max="6" width="23.8515625" style="0" customWidth="1"/>
    <col min="7" max="10" width="4.7109375" style="0" customWidth="1" outlineLevel="2"/>
    <col min="11" max="11" width="10.28125" style="0" customWidth="1" outlineLevel="1"/>
    <col min="12" max="12" width="9.57421875" style="0" customWidth="1" outlineLevel="1"/>
    <col min="13" max="13" width="5.7109375" style="0" customWidth="1" outlineLevel="1"/>
    <col min="14" max="14" width="11.421875" style="77" customWidth="1" outlineLevel="1"/>
    <col min="15" max="15" width="2.00390625" style="0" customWidth="1"/>
    <col min="17" max="17" width="11.00390625" style="0" customWidth="1"/>
    <col min="18" max="18" width="9.421875" style="0" customWidth="1"/>
    <col min="19" max="19" width="11.421875" style="77" customWidth="1"/>
    <col min="20" max="20" width="11.8515625" style="84" bestFit="1" customWidth="1"/>
    <col min="21" max="21" width="1.1484375" style="0" customWidth="1"/>
    <col min="22" max="22" width="10.00390625" style="0" customWidth="1"/>
    <col min="23" max="23" width="13.140625" style="0" customWidth="1"/>
    <col min="24" max="24" width="7.7109375" style="0" customWidth="1"/>
    <col min="25" max="25" width="5.57421875" style="0" customWidth="1"/>
    <col min="26" max="27" width="12.28125" style="0" bestFit="1" customWidth="1"/>
  </cols>
  <sheetData>
    <row r="4" spans="2:23" ht="13.5" thickBot="1">
      <c r="B4" s="45" t="s">
        <v>120</v>
      </c>
      <c r="C4" s="513" t="s">
        <v>261</v>
      </c>
      <c r="D4" s="514"/>
      <c r="E4" s="45" t="s">
        <v>186</v>
      </c>
      <c r="F4" s="44"/>
      <c r="G4" s="44"/>
      <c r="H4" s="44"/>
      <c r="I4" s="44"/>
      <c r="J4" s="44"/>
      <c r="K4" s="44"/>
      <c r="L4" s="44"/>
      <c r="M4" s="44"/>
      <c r="N4" s="107" t="s">
        <v>262</v>
      </c>
      <c r="O4" s="44"/>
      <c r="P4" s="44"/>
      <c r="Q4" s="44"/>
      <c r="R4" s="44"/>
      <c r="S4" s="107" t="s">
        <v>262</v>
      </c>
      <c r="T4" s="107" t="s">
        <v>194</v>
      </c>
      <c r="V4" s="48" t="s">
        <v>260</v>
      </c>
      <c r="W4" s="48"/>
    </row>
    <row r="5" spans="7:24" ht="14.25" thickBot="1">
      <c r="G5" s="81">
        <v>2000</v>
      </c>
      <c r="H5" s="81">
        <v>2001</v>
      </c>
      <c r="I5" s="81">
        <v>2002</v>
      </c>
      <c r="J5" s="81">
        <v>2003</v>
      </c>
      <c r="K5" s="81">
        <v>2004</v>
      </c>
      <c r="L5" s="81">
        <v>2005</v>
      </c>
      <c r="M5" s="81">
        <v>2006</v>
      </c>
      <c r="N5" s="103" t="s">
        <v>105</v>
      </c>
      <c r="O5" s="47"/>
      <c r="P5" s="81">
        <v>2007</v>
      </c>
      <c r="Q5" s="81">
        <v>2008</v>
      </c>
      <c r="R5" s="81">
        <v>2009</v>
      </c>
      <c r="S5" s="103" t="s">
        <v>122</v>
      </c>
      <c r="T5" s="88" t="s">
        <v>187</v>
      </c>
      <c r="V5" s="46" t="s">
        <v>129</v>
      </c>
      <c r="W5" s="46" t="s">
        <v>130</v>
      </c>
      <c r="X5" s="190" t="s">
        <v>259</v>
      </c>
    </row>
    <row r="6" spans="2:25" ht="12.75">
      <c r="B6" s="50" t="s">
        <v>128</v>
      </c>
      <c r="C6" s="51"/>
      <c r="D6" s="51"/>
      <c r="E6" s="51"/>
      <c r="F6" s="51"/>
      <c r="G6" s="51"/>
      <c r="H6" s="51"/>
      <c r="I6" s="51"/>
      <c r="J6" s="51"/>
      <c r="K6" s="51"/>
      <c r="L6" s="51"/>
      <c r="M6" s="51"/>
      <c r="N6" s="50"/>
      <c r="O6" s="51"/>
      <c r="P6" s="51"/>
      <c r="Q6" s="51"/>
      <c r="R6" s="51"/>
      <c r="S6" s="50"/>
      <c r="T6" s="83"/>
      <c r="V6" s="83"/>
      <c r="W6" s="83"/>
      <c r="X6" s="114">
        <f>SUM(X8:X25)</f>
        <v>0.4042234841114323</v>
      </c>
      <c r="Y6" s="93" t="s">
        <v>406</v>
      </c>
    </row>
    <row r="7" ht="13.5" thickBot="1">
      <c r="C7" t="s">
        <v>131</v>
      </c>
    </row>
    <row r="8" spans="4:25" ht="13.5">
      <c r="D8" s="49" t="s">
        <v>170</v>
      </c>
      <c r="E8" s="22"/>
      <c r="F8" s="22"/>
      <c r="G8" s="22"/>
      <c r="H8" s="22"/>
      <c r="I8" s="22"/>
      <c r="J8" s="22"/>
      <c r="K8" s="22"/>
      <c r="L8" s="69">
        <v>2972230.32</v>
      </c>
      <c r="M8" s="94"/>
      <c r="N8" s="98"/>
      <c r="P8" s="69">
        <f>2838603.05+271908.01+109004.79</f>
        <v>3219515.8499999996</v>
      </c>
      <c r="S8" s="98"/>
      <c r="T8" s="85">
        <f>P8*Y8</f>
        <v>19317095.099999998</v>
      </c>
      <c r="V8" s="74">
        <v>0.8</v>
      </c>
      <c r="W8" s="63">
        <f>T8*V8</f>
        <v>15453676.079999998</v>
      </c>
      <c r="X8" s="71">
        <f>W8/$W$62</f>
        <v>0.07944361283718161</v>
      </c>
      <c r="Y8" s="93">
        <v>6</v>
      </c>
    </row>
    <row r="9" spans="4:23" ht="12.75">
      <c r="D9" s="54" t="s">
        <v>132</v>
      </c>
      <c r="E9" s="22"/>
      <c r="F9" s="22"/>
      <c r="G9" s="22"/>
      <c r="H9" s="22"/>
      <c r="I9" s="22"/>
      <c r="J9" s="22"/>
      <c r="K9" s="22"/>
      <c r="L9" s="22"/>
      <c r="M9" s="94"/>
      <c r="N9" s="99"/>
      <c r="S9" s="99"/>
      <c r="T9" s="86"/>
      <c r="V9" s="56" t="s">
        <v>164</v>
      </c>
      <c r="W9" s="53"/>
    </row>
    <row r="10" spans="4:25" ht="13.5">
      <c r="D10" s="49" t="s">
        <v>252</v>
      </c>
      <c r="E10" s="22"/>
      <c r="F10" s="22"/>
      <c r="G10" s="22"/>
      <c r="H10" s="22"/>
      <c r="I10" s="22"/>
      <c r="J10" s="22"/>
      <c r="K10" s="22"/>
      <c r="L10" s="69">
        <v>813383</v>
      </c>
      <c r="M10" s="94"/>
      <c r="N10" s="99"/>
      <c r="P10" s="69">
        <v>1531631.93</v>
      </c>
      <c r="S10" s="99"/>
      <c r="T10" s="85">
        <f>L10*Y10</f>
        <v>4880298</v>
      </c>
      <c r="V10" s="74">
        <v>0.8</v>
      </c>
      <c r="W10" s="63">
        <f>T10*V10</f>
        <v>3904238.4000000004</v>
      </c>
      <c r="X10" s="71">
        <f>W10/$W$62</f>
        <v>0.020070745773885634</v>
      </c>
      <c r="Y10" s="93">
        <v>6</v>
      </c>
    </row>
    <row r="11" spans="4:23" ht="13.5">
      <c r="D11" s="54" t="s">
        <v>133</v>
      </c>
      <c r="E11" s="22"/>
      <c r="F11" s="22"/>
      <c r="G11" s="22"/>
      <c r="H11" s="22"/>
      <c r="I11" s="22"/>
      <c r="J11" s="22"/>
      <c r="K11" s="22"/>
      <c r="L11" s="69"/>
      <c r="M11" s="94"/>
      <c r="N11" s="99"/>
      <c r="S11" s="99"/>
      <c r="T11" s="86"/>
      <c r="V11" s="56" t="s">
        <v>164</v>
      </c>
      <c r="W11" s="53"/>
    </row>
    <row r="12" spans="4:25" ht="14.25" thickBot="1">
      <c r="D12" s="49" t="s">
        <v>253</v>
      </c>
      <c r="E12" s="22"/>
      <c r="F12" s="22"/>
      <c r="G12" s="22"/>
      <c r="H12" s="22"/>
      <c r="I12" s="22"/>
      <c r="J12" s="22"/>
      <c r="K12" s="22"/>
      <c r="L12" s="69">
        <f>750194+1149302</f>
        <v>1899496</v>
      </c>
      <c r="M12" s="94"/>
      <c r="N12" s="100"/>
      <c r="P12" s="69">
        <v>1142899.51</v>
      </c>
      <c r="S12" s="100"/>
      <c r="T12" s="85">
        <f>L12*Y12</f>
        <v>11396976</v>
      </c>
      <c r="V12" s="74">
        <v>0</v>
      </c>
      <c r="W12" s="63">
        <f>T12*V12</f>
        <v>0</v>
      </c>
      <c r="X12" s="71">
        <f>W12/$W$62</f>
        <v>0</v>
      </c>
      <c r="Y12" s="93">
        <v>6</v>
      </c>
    </row>
    <row r="14" ht="13.5" thickBot="1">
      <c r="C14" t="s">
        <v>134</v>
      </c>
    </row>
    <row r="15" spans="4:23" ht="13.5">
      <c r="D15" s="49" t="s">
        <v>135</v>
      </c>
      <c r="E15" s="22"/>
      <c r="F15" s="22"/>
      <c r="G15" s="22"/>
      <c r="H15" s="22"/>
      <c r="I15" s="22"/>
      <c r="J15" s="22"/>
      <c r="K15" s="22"/>
      <c r="L15" s="22"/>
      <c r="M15" s="94"/>
      <c r="N15" s="98"/>
      <c r="P15" s="69">
        <v>163788.35</v>
      </c>
      <c r="S15" s="98"/>
      <c r="T15" s="86"/>
      <c r="V15" s="22"/>
      <c r="W15" s="22"/>
    </row>
    <row r="16" spans="4:24" ht="13.5">
      <c r="D16" s="49" t="s">
        <v>136</v>
      </c>
      <c r="E16" s="22"/>
      <c r="F16" s="22"/>
      <c r="G16" s="22"/>
      <c r="H16" s="22"/>
      <c r="I16" s="22"/>
      <c r="J16" s="22"/>
      <c r="K16" s="22"/>
      <c r="L16" s="22"/>
      <c r="M16" s="94"/>
      <c r="N16" s="99"/>
      <c r="P16" s="69">
        <v>623850</v>
      </c>
      <c r="S16" s="99"/>
      <c r="T16" s="85">
        <f>P16*3</f>
        <v>1871550</v>
      </c>
      <c r="V16" s="74">
        <v>0.8</v>
      </c>
      <c r="W16" s="63">
        <f>T16*V16</f>
        <v>1497240</v>
      </c>
      <c r="X16" s="71">
        <f>W16/$W$62</f>
        <v>0.007696948885726989</v>
      </c>
    </row>
    <row r="17" spans="4:25" ht="13.5">
      <c r="D17" s="49" t="s">
        <v>137</v>
      </c>
      <c r="E17" s="22"/>
      <c r="F17" s="22"/>
      <c r="G17" s="22"/>
      <c r="H17" s="22"/>
      <c r="I17" s="22"/>
      <c r="J17" s="22"/>
      <c r="K17" s="22"/>
      <c r="L17" s="22"/>
      <c r="M17" s="94"/>
      <c r="N17" s="99"/>
      <c r="P17" s="69">
        <v>2772765.4</v>
      </c>
      <c r="S17" s="99"/>
      <c r="T17" s="85">
        <f>P17*Y17</f>
        <v>8318296.199999999</v>
      </c>
      <c r="V17" s="74">
        <v>0.8</v>
      </c>
      <c r="W17" s="63">
        <f>T17*V17</f>
        <v>6654636.96</v>
      </c>
      <c r="X17" s="71">
        <f>W17/$W$62</f>
        <v>0.03420987986841764</v>
      </c>
      <c r="Y17" s="93">
        <v>3</v>
      </c>
    </row>
    <row r="18" spans="4:23" ht="12.75">
      <c r="D18" s="54" t="s">
        <v>138</v>
      </c>
      <c r="E18" s="22"/>
      <c r="F18" s="22"/>
      <c r="G18" s="22"/>
      <c r="H18" s="22"/>
      <c r="I18" s="22"/>
      <c r="J18" s="22"/>
      <c r="K18" s="22"/>
      <c r="L18" s="22"/>
      <c r="M18" s="94"/>
      <c r="N18" s="99"/>
      <c r="S18" s="99"/>
      <c r="T18" s="86"/>
      <c r="V18" s="55" t="s">
        <v>164</v>
      </c>
      <c r="W18" s="53"/>
    </row>
    <row r="19" spans="4:26" ht="14.25" thickBot="1">
      <c r="D19" s="49" t="s">
        <v>188</v>
      </c>
      <c r="E19" s="22"/>
      <c r="F19" s="22"/>
      <c r="G19" s="22"/>
      <c r="H19" s="22"/>
      <c r="I19" s="22"/>
      <c r="J19" s="22"/>
      <c r="K19" s="22"/>
      <c r="L19" s="22"/>
      <c r="M19" s="94"/>
      <c r="N19" s="100"/>
      <c r="P19" s="69">
        <v>24776.74</v>
      </c>
      <c r="S19" s="100"/>
      <c r="T19" s="85">
        <f>P19*Y19</f>
        <v>74330.22</v>
      </c>
      <c r="V19" s="74">
        <v>0.8</v>
      </c>
      <c r="W19" s="63">
        <f>T19*V19</f>
        <v>59464.17600000001</v>
      </c>
      <c r="X19" s="71">
        <f>W19/$W$62</f>
        <v>0.00030569095349033796</v>
      </c>
      <c r="Y19" s="93">
        <v>3</v>
      </c>
      <c r="Z19" s="93"/>
    </row>
    <row r="21" ht="13.5" thickBot="1">
      <c r="C21" t="s">
        <v>139</v>
      </c>
    </row>
    <row r="22" spans="4:25" ht="13.5">
      <c r="D22" s="49" t="s">
        <v>140</v>
      </c>
      <c r="E22" s="22"/>
      <c r="F22" s="22"/>
      <c r="G22" s="22"/>
      <c r="H22" s="22"/>
      <c r="I22" s="22"/>
      <c r="J22" s="22"/>
      <c r="K22" s="22"/>
      <c r="L22" s="69">
        <f>D82</f>
        <v>6734159.7</v>
      </c>
      <c r="M22" s="94"/>
      <c r="N22" s="98"/>
      <c r="P22" s="529">
        <f>D84</f>
        <v>10166870</v>
      </c>
      <c r="Q22" s="69">
        <v>13726377</v>
      </c>
      <c r="S22" s="98"/>
      <c r="T22" s="85">
        <f>P22*Y22</f>
        <v>61001220</v>
      </c>
      <c r="V22" s="58">
        <v>0.8</v>
      </c>
      <c r="W22" s="63">
        <f>T22*V22</f>
        <v>48800976</v>
      </c>
      <c r="X22" s="71">
        <f>W22/$W$62</f>
        <v>0.2508740200940327</v>
      </c>
      <c r="Y22" s="93">
        <v>6</v>
      </c>
    </row>
    <row r="23" spans="4:25" ht="13.5">
      <c r="D23" s="49" t="s">
        <v>141</v>
      </c>
      <c r="E23" s="22"/>
      <c r="F23" s="22"/>
      <c r="G23" s="61" t="s">
        <v>172</v>
      </c>
      <c r="H23" s="61" t="s">
        <v>173</v>
      </c>
      <c r="I23" s="22"/>
      <c r="J23" s="61" t="s">
        <v>204</v>
      </c>
      <c r="L23" s="69">
        <f>E76</f>
        <v>687999.2</v>
      </c>
      <c r="M23" s="101" t="s">
        <v>174</v>
      </c>
      <c r="N23" s="99"/>
      <c r="P23" s="176">
        <f>E76/2</f>
        <v>343999.6</v>
      </c>
      <c r="R23" s="62" t="s">
        <v>203</v>
      </c>
      <c r="S23" s="99"/>
      <c r="T23" s="85">
        <f>L23*Y23</f>
        <v>1375998.4</v>
      </c>
      <c r="V23" s="58">
        <v>0.8</v>
      </c>
      <c r="W23" s="63">
        <f>T23*V23</f>
        <v>1100798.72</v>
      </c>
      <c r="X23" s="71">
        <f>W23/$W$62</f>
        <v>0.005658940104000491</v>
      </c>
      <c r="Y23" s="93">
        <v>2</v>
      </c>
    </row>
    <row r="24" spans="4:24" ht="13.5">
      <c r="D24" s="49" t="s">
        <v>142</v>
      </c>
      <c r="E24" s="22"/>
      <c r="F24" s="22"/>
      <c r="G24" s="22"/>
      <c r="H24" s="22"/>
      <c r="I24" s="22"/>
      <c r="J24" s="22"/>
      <c r="K24" s="22"/>
      <c r="L24" s="59"/>
      <c r="M24" s="102"/>
      <c r="N24" s="99"/>
      <c r="P24" s="69">
        <v>203027.8</v>
      </c>
      <c r="Q24" s="69">
        <v>483363</v>
      </c>
      <c r="S24" s="99"/>
      <c r="T24" s="85">
        <f>Q24*3</f>
        <v>1450089</v>
      </c>
      <c r="V24" s="74">
        <v>0.8</v>
      </c>
      <c r="W24" s="63">
        <f>T24*V24</f>
        <v>1160071.2</v>
      </c>
      <c r="X24" s="71">
        <f>W24/$W$62</f>
        <v>0.005963645594696889</v>
      </c>
    </row>
    <row r="25" spans="4:23" ht="13.5" thickBot="1">
      <c r="D25" s="49" t="s">
        <v>143</v>
      </c>
      <c r="E25" s="22"/>
      <c r="F25" s="59"/>
      <c r="G25" s="59"/>
      <c r="H25" s="59"/>
      <c r="I25" s="59"/>
      <c r="J25" s="59"/>
      <c r="K25" s="59"/>
      <c r="L25" s="59"/>
      <c r="M25" s="102"/>
      <c r="N25" s="100"/>
      <c r="S25" s="100"/>
      <c r="T25" s="86"/>
      <c r="V25" s="22"/>
      <c r="W25" s="22"/>
    </row>
    <row r="27" spans="2:24" ht="12.75">
      <c r="B27" s="50" t="s">
        <v>144</v>
      </c>
      <c r="C27" s="51"/>
      <c r="D27" s="51"/>
      <c r="E27" s="51"/>
      <c r="F27" s="51"/>
      <c r="G27" s="51"/>
      <c r="H27" s="51"/>
      <c r="I27" s="51"/>
      <c r="J27" s="51"/>
      <c r="K27" s="51"/>
      <c r="L27" s="51"/>
      <c r="M27" s="51"/>
      <c r="N27" s="50"/>
      <c r="O27" s="51"/>
      <c r="P27" s="51"/>
      <c r="Q27" s="51"/>
      <c r="R27" s="51"/>
      <c r="S27" s="50"/>
      <c r="T27" s="83"/>
      <c r="V27" s="83"/>
      <c r="W27" s="83"/>
      <c r="X27" s="114">
        <f>SUM(X29:X49)</f>
        <v>0.18027426156546705</v>
      </c>
    </row>
    <row r="28" ht="13.5" thickBot="1">
      <c r="C28" t="s">
        <v>151</v>
      </c>
    </row>
    <row r="29" spans="4:23" ht="12.75">
      <c r="D29" s="49" t="s">
        <v>152</v>
      </c>
      <c r="E29" s="22"/>
      <c r="F29" s="22"/>
      <c r="G29" s="22"/>
      <c r="H29" s="22"/>
      <c r="I29" s="22"/>
      <c r="J29" s="22"/>
      <c r="K29" s="22"/>
      <c r="L29" s="22"/>
      <c r="M29" s="94"/>
      <c r="N29" s="98"/>
      <c r="S29" s="98"/>
      <c r="T29" s="86"/>
      <c r="V29" s="22"/>
      <c r="W29" s="22"/>
    </row>
    <row r="30" spans="4:25" ht="13.5">
      <c r="D30" s="49" t="s">
        <v>153</v>
      </c>
      <c r="E30" s="22"/>
      <c r="F30" s="22"/>
      <c r="G30" s="22"/>
      <c r="H30" s="22"/>
      <c r="I30" s="22"/>
      <c r="J30" s="22"/>
      <c r="K30" s="22"/>
      <c r="L30" s="69">
        <f>D91+E91</f>
        <v>1784152.37</v>
      </c>
      <c r="M30" s="94"/>
      <c r="N30" s="99"/>
      <c r="P30" s="69">
        <v>2433704.27</v>
      </c>
      <c r="S30" s="99"/>
      <c r="T30" s="89">
        <f>L30*6</f>
        <v>10704914.22</v>
      </c>
      <c r="V30" s="58">
        <v>0.85</v>
      </c>
      <c r="W30" s="63">
        <f>T30*V30</f>
        <v>9099177.087000001</v>
      </c>
      <c r="X30" s="71">
        <f>W30/$W$62</f>
        <v>0.04677666969945848</v>
      </c>
      <c r="Y30" s="93">
        <v>6</v>
      </c>
    </row>
    <row r="31" spans="4:27" ht="13.5">
      <c r="D31" s="49" t="s">
        <v>198</v>
      </c>
      <c r="E31" s="22"/>
      <c r="F31" s="22"/>
      <c r="G31" s="22"/>
      <c r="H31" s="22"/>
      <c r="I31" s="22"/>
      <c r="J31" s="22"/>
      <c r="K31" s="22"/>
      <c r="L31" s="69"/>
      <c r="M31" s="94"/>
      <c r="N31" s="99"/>
      <c r="P31" s="69">
        <v>371830.32</v>
      </c>
      <c r="S31" s="99"/>
      <c r="T31" s="89">
        <f>P31*6</f>
        <v>2230981.92</v>
      </c>
      <c r="V31" s="58">
        <v>0.85</v>
      </c>
      <c r="W31" s="63">
        <f>T31*V31</f>
        <v>1896334.632</v>
      </c>
      <c r="X31" s="71">
        <f>W31/$W$62</f>
        <v>0.009748597908643837</v>
      </c>
      <c r="Y31" s="93">
        <v>6</v>
      </c>
      <c r="Z31" s="63">
        <f>W30+W31</f>
        <v>10995511.719</v>
      </c>
      <c r="AA31" s="330">
        <f>X30+X31</f>
        <v>0.056525267608102316</v>
      </c>
    </row>
    <row r="32" spans="4:24" ht="13.5">
      <c r="D32" s="49" t="s">
        <v>154</v>
      </c>
      <c r="E32" s="22"/>
      <c r="F32" s="22"/>
      <c r="G32" s="22"/>
      <c r="H32" s="22"/>
      <c r="I32" s="22"/>
      <c r="J32" s="22"/>
      <c r="K32" s="22"/>
      <c r="L32" s="69">
        <v>98863.7</v>
      </c>
      <c r="M32" s="94"/>
      <c r="N32" s="99"/>
      <c r="P32" s="69">
        <v>259720.15</v>
      </c>
      <c r="S32" s="99"/>
      <c r="T32" s="89">
        <f>L32*10</f>
        <v>988637</v>
      </c>
      <c r="V32" s="74">
        <v>0.8</v>
      </c>
      <c r="W32" s="63">
        <f>T32*V32</f>
        <v>790909.6000000001</v>
      </c>
      <c r="X32" s="71">
        <f>W32/$W$62</f>
        <v>0.004065875053051468</v>
      </c>
    </row>
    <row r="33" spans="4:24" ht="13.5">
      <c r="D33" s="49" t="s">
        <v>155</v>
      </c>
      <c r="E33" s="22"/>
      <c r="F33" s="22"/>
      <c r="G33" s="22"/>
      <c r="H33" s="22"/>
      <c r="I33" s="22"/>
      <c r="J33" s="22"/>
      <c r="K33" s="22"/>
      <c r="L33" s="69">
        <v>238551.32</v>
      </c>
      <c r="M33" s="94"/>
      <c r="N33" s="99"/>
      <c r="P33" s="69">
        <v>150000</v>
      </c>
      <c r="S33" s="99"/>
      <c r="T33" s="85">
        <f>L33*10</f>
        <v>2385513.2</v>
      </c>
      <c r="V33" s="74">
        <v>0.8</v>
      </c>
      <c r="W33" s="63">
        <f>T33*V33</f>
        <v>1908410.5600000003</v>
      </c>
      <c r="X33" s="71">
        <f>W33/$W$62</f>
        <v>0.00981067733516445</v>
      </c>
    </row>
    <row r="34" spans="4:25" ht="13.5">
      <c r="D34" s="49" t="s">
        <v>189</v>
      </c>
      <c r="E34" s="22"/>
      <c r="F34" s="22"/>
      <c r="G34" s="22"/>
      <c r="H34" s="22"/>
      <c r="I34" s="22"/>
      <c r="J34" s="22"/>
      <c r="K34" s="22"/>
      <c r="L34" s="69">
        <v>372575.48</v>
      </c>
      <c r="M34" s="94"/>
      <c r="N34" s="99"/>
      <c r="P34" s="69">
        <v>161448.93</v>
      </c>
      <c r="S34" s="99"/>
      <c r="T34" s="85">
        <f>P34*6</f>
        <v>968693.58</v>
      </c>
      <c r="V34" s="74">
        <v>0.8</v>
      </c>
      <c r="W34" s="63">
        <f>T34*V34</f>
        <v>774954.8640000001</v>
      </c>
      <c r="X34" s="71">
        <f>W34/$W$62</f>
        <v>0.0039838556122956306</v>
      </c>
      <c r="Y34" s="93">
        <v>6</v>
      </c>
    </row>
    <row r="35" spans="4:24" ht="14.25" thickBot="1">
      <c r="D35" s="49" t="s">
        <v>190</v>
      </c>
      <c r="E35" s="22"/>
      <c r="F35" s="22"/>
      <c r="G35" s="22"/>
      <c r="H35" s="22"/>
      <c r="I35" s="22"/>
      <c r="J35" s="22"/>
      <c r="K35" s="22"/>
      <c r="L35" s="69"/>
      <c r="M35" s="94"/>
      <c r="N35" s="100"/>
      <c r="P35" s="69"/>
      <c r="S35" s="104"/>
      <c r="T35" s="89"/>
      <c r="V35" s="91"/>
      <c r="W35" s="92"/>
      <c r="X35" s="71"/>
    </row>
    <row r="37" spans="3:17" ht="14.25" thickBot="1">
      <c r="C37" t="s">
        <v>323</v>
      </c>
      <c r="P37" s="189"/>
      <c r="Q37" s="129"/>
    </row>
    <row r="38" spans="4:26" ht="13.5">
      <c r="D38" s="49" t="s">
        <v>157</v>
      </c>
      <c r="E38" s="22"/>
      <c r="F38" s="94"/>
      <c r="G38" s="96"/>
      <c r="H38" s="76"/>
      <c r="I38" s="76"/>
      <c r="J38" s="97"/>
      <c r="K38" s="22"/>
      <c r="L38" s="22"/>
      <c r="M38" s="94"/>
      <c r="N38" s="98"/>
      <c r="P38" s="532">
        <v>3747760.24</v>
      </c>
      <c r="Q38" s="69">
        <f>48588109/1568*150-600000</f>
        <v>4048097.161989796</v>
      </c>
      <c r="R38" s="69">
        <v>4473106</v>
      </c>
      <c r="S38" s="98"/>
      <c r="T38" s="85">
        <f>P38*6</f>
        <v>22486561.44</v>
      </c>
      <c r="V38" s="74">
        <v>0.8</v>
      </c>
      <c r="W38" s="63">
        <f>T38*V38</f>
        <v>17989249.152000003</v>
      </c>
      <c r="X38" s="71">
        <f>W38/$W$62</f>
        <v>0.09247838103146563</v>
      </c>
      <c r="Y38" s="93">
        <v>6</v>
      </c>
      <c r="Z38" s="328">
        <f>T38/T62</f>
        <v>0.0886193399474675</v>
      </c>
    </row>
    <row r="39" spans="4:26" ht="13.5">
      <c r="D39" s="49" t="s">
        <v>255</v>
      </c>
      <c r="E39" s="22"/>
      <c r="F39" s="22"/>
      <c r="G39" s="25"/>
      <c r="H39" s="25"/>
      <c r="I39" s="25"/>
      <c r="J39" s="25"/>
      <c r="K39" s="22"/>
      <c r="L39" s="69">
        <f>D100</f>
        <v>95404.7</v>
      </c>
      <c r="M39" s="94"/>
      <c r="N39" s="99"/>
      <c r="P39" s="69">
        <f>D99+D100</f>
        <v>234317.68</v>
      </c>
      <c r="Q39" s="69">
        <v>86108</v>
      </c>
      <c r="S39" s="99"/>
      <c r="T39" s="85">
        <f>P39*Y39</f>
        <v>1405906.08</v>
      </c>
      <c r="V39" s="74">
        <v>0.8</v>
      </c>
      <c r="W39" s="63">
        <f>T39*V39</f>
        <v>1124724.864</v>
      </c>
      <c r="X39" s="71">
        <f>W39/$W$62</f>
        <v>0.005781938626215062</v>
      </c>
      <c r="Y39" s="93">
        <v>6</v>
      </c>
      <c r="Z39" s="93"/>
    </row>
    <row r="40" spans="4:25" ht="13.5">
      <c r="D40" s="49" t="s">
        <v>185</v>
      </c>
      <c r="E40" s="22"/>
      <c r="F40" s="22"/>
      <c r="G40" s="22"/>
      <c r="H40" s="22"/>
      <c r="I40" s="22"/>
      <c r="J40" s="22"/>
      <c r="K40" s="22"/>
      <c r="L40" s="69">
        <v>64843.25</v>
      </c>
      <c r="M40" s="94"/>
      <c r="N40" s="99"/>
      <c r="S40" s="99"/>
      <c r="T40" s="85">
        <f>L40*Y40</f>
        <v>389059.5</v>
      </c>
      <c r="V40" s="74">
        <v>0.8</v>
      </c>
      <c r="W40" s="63">
        <f>T40*V40</f>
        <v>311247.60000000003</v>
      </c>
      <c r="X40" s="71">
        <f>W40/$W$62</f>
        <v>0.0016000486682196573</v>
      </c>
      <c r="Y40" s="93">
        <v>6</v>
      </c>
    </row>
    <row r="41" spans="4:25" ht="14.25" thickBot="1">
      <c r="D41" s="49" t="s">
        <v>191</v>
      </c>
      <c r="E41" s="22"/>
      <c r="F41" s="22"/>
      <c r="G41" s="22"/>
      <c r="H41" s="22"/>
      <c r="I41" s="22"/>
      <c r="J41" s="22"/>
      <c r="K41" s="22"/>
      <c r="L41" s="529">
        <v>146579</v>
      </c>
      <c r="M41" s="94"/>
      <c r="N41" s="100"/>
      <c r="P41" s="69">
        <v>237649.73</v>
      </c>
      <c r="Q41" s="69">
        <v>250496</v>
      </c>
      <c r="S41" s="100"/>
      <c r="T41" s="85">
        <f>L41*Y41</f>
        <v>1465790</v>
      </c>
      <c r="V41" s="74">
        <v>0.8</v>
      </c>
      <c r="W41" s="63">
        <f>T41*V41</f>
        <v>1172632</v>
      </c>
      <c r="X41" s="71">
        <f>W41/$W$62</f>
        <v>0.006028217630952827</v>
      </c>
      <c r="Y41" s="93">
        <v>10</v>
      </c>
    </row>
    <row r="42" spans="4:23" ht="13.5">
      <c r="D42" s="52"/>
      <c r="E42" s="53"/>
      <c r="F42" s="53"/>
      <c r="G42" s="53"/>
      <c r="H42" s="53"/>
      <c r="I42" s="53"/>
      <c r="J42" s="53"/>
      <c r="K42" s="53"/>
      <c r="L42" s="53"/>
      <c r="M42" s="53"/>
      <c r="N42" s="78"/>
      <c r="P42" s="90"/>
      <c r="S42" s="78"/>
      <c r="T42" s="86"/>
      <c r="V42" s="53"/>
      <c r="W42" s="53"/>
    </row>
    <row r="43" ht="13.5" thickBot="1">
      <c r="C43" t="s">
        <v>145</v>
      </c>
    </row>
    <row r="44" spans="4:23" ht="12.75">
      <c r="D44" s="49" t="s">
        <v>146</v>
      </c>
      <c r="E44" s="22"/>
      <c r="F44" s="22"/>
      <c r="G44" s="22"/>
      <c r="H44" s="22"/>
      <c r="I44" s="22"/>
      <c r="J44" s="22"/>
      <c r="K44" s="22"/>
      <c r="L44" s="22"/>
      <c r="M44" s="94"/>
      <c r="N44" s="98"/>
      <c r="S44" s="98"/>
      <c r="T44" s="86"/>
      <c r="V44" s="22"/>
      <c r="W44" s="22"/>
    </row>
    <row r="45" spans="4:23" ht="12.75">
      <c r="D45" s="49" t="s">
        <v>147</v>
      </c>
      <c r="E45" s="22"/>
      <c r="F45" s="22"/>
      <c r="G45" s="22"/>
      <c r="H45" s="22"/>
      <c r="I45" s="22"/>
      <c r="J45" s="22"/>
      <c r="K45" s="22"/>
      <c r="L45" s="22"/>
      <c r="M45" s="94"/>
      <c r="N45" s="99"/>
      <c r="P45" s="105" t="s">
        <v>192</v>
      </c>
      <c r="S45" s="230" t="s">
        <v>295</v>
      </c>
      <c r="T45" s="86"/>
      <c r="V45" s="22"/>
      <c r="W45" s="22"/>
    </row>
    <row r="46" spans="4:23" ht="12.75">
      <c r="D46" s="49" t="s">
        <v>148</v>
      </c>
      <c r="E46" s="22"/>
      <c r="F46" s="22"/>
      <c r="G46" s="22"/>
      <c r="H46" s="22"/>
      <c r="I46" s="22"/>
      <c r="J46" s="22"/>
      <c r="K46" s="22"/>
      <c r="L46" s="22"/>
      <c r="M46" s="94"/>
      <c r="N46" s="99"/>
      <c r="S46" s="99"/>
      <c r="T46" s="86"/>
      <c r="V46" s="22"/>
      <c r="W46" s="22"/>
    </row>
    <row r="47" spans="4:23" ht="12.75">
      <c r="D47" s="49" t="s">
        <v>149</v>
      </c>
      <c r="E47" s="22"/>
      <c r="F47" s="22"/>
      <c r="G47" s="22"/>
      <c r="H47" s="22"/>
      <c r="I47" s="22"/>
      <c r="J47" s="22"/>
      <c r="K47" s="22"/>
      <c r="L47" s="22"/>
      <c r="M47" s="94"/>
      <c r="N47" s="99"/>
      <c r="S47" s="99"/>
      <c r="T47" s="86"/>
      <c r="V47" s="22"/>
      <c r="W47" s="22"/>
    </row>
    <row r="48" spans="4:23" ht="12.75">
      <c r="D48" s="49" t="s">
        <v>150</v>
      </c>
      <c r="E48" s="22"/>
      <c r="F48" s="22"/>
      <c r="G48" s="22"/>
      <c r="H48" s="22"/>
      <c r="I48" s="22"/>
      <c r="J48" s="22"/>
      <c r="K48" s="22"/>
      <c r="L48" s="22"/>
      <c r="M48" s="94"/>
      <c r="N48" s="99"/>
      <c r="S48" s="99"/>
      <c r="T48" s="86"/>
      <c r="V48" s="22"/>
      <c r="W48" s="22"/>
    </row>
    <row r="49" spans="4:23" ht="14.25" thickBot="1">
      <c r="D49" s="49" t="s">
        <v>159</v>
      </c>
      <c r="E49" s="22"/>
      <c r="F49" s="57" t="s">
        <v>165</v>
      </c>
      <c r="G49" s="57"/>
      <c r="H49" s="57"/>
      <c r="I49" s="57"/>
      <c r="J49" s="57"/>
      <c r="K49" s="57"/>
      <c r="L49" s="57"/>
      <c r="M49" s="106"/>
      <c r="N49" s="100"/>
      <c r="S49" s="230" t="s">
        <v>295</v>
      </c>
      <c r="T49" s="86"/>
      <c r="V49" s="74">
        <v>0.8</v>
      </c>
      <c r="W49" s="22"/>
    </row>
    <row r="50" spans="4:16" ht="13.5">
      <c r="D50" s="125" t="s">
        <v>193</v>
      </c>
      <c r="E50" s="53"/>
      <c r="F50" s="53"/>
      <c r="G50" s="53"/>
      <c r="H50" s="53"/>
      <c r="I50" s="53"/>
      <c r="J50" s="53"/>
      <c r="K50" s="53"/>
      <c r="L50" s="53"/>
      <c r="M50" s="53"/>
      <c r="P50" s="69"/>
    </row>
    <row r="51" spans="7:10" ht="12.75">
      <c r="G51" s="53"/>
      <c r="H51" s="53"/>
      <c r="I51" s="53"/>
      <c r="J51" s="53"/>
    </row>
    <row r="52" spans="2:24" ht="12.75">
      <c r="B52" s="50" t="s">
        <v>160</v>
      </c>
      <c r="C52" s="51"/>
      <c r="D52" s="51"/>
      <c r="E52" s="51"/>
      <c r="F52" s="51"/>
      <c r="G52" s="51"/>
      <c r="H52" s="51"/>
      <c r="I52" s="51"/>
      <c r="J52" s="51"/>
      <c r="K52" s="51"/>
      <c r="L52" s="51"/>
      <c r="M52" s="51"/>
      <c r="N52" s="50"/>
      <c r="O52" s="51"/>
      <c r="P52" s="51"/>
      <c r="Q52" s="51"/>
      <c r="R52" s="51"/>
      <c r="S52" s="50"/>
      <c r="T52" s="83"/>
      <c r="V52" s="83"/>
      <c r="W52" s="83"/>
      <c r="X52" s="114">
        <f>SUM(X54:X56)</f>
        <v>0.41550225432310073</v>
      </c>
    </row>
    <row r="53" ht="13.5" thickBot="1">
      <c r="C53" t="s">
        <v>161</v>
      </c>
    </row>
    <row r="54" spans="4:28" ht="13.5">
      <c r="D54" s="49" t="s">
        <v>162</v>
      </c>
      <c r="E54" s="22"/>
      <c r="F54" s="22"/>
      <c r="G54" s="22"/>
      <c r="H54" s="22"/>
      <c r="I54" s="22"/>
      <c r="J54" s="22"/>
      <c r="K54" s="168">
        <f>P54*60%</f>
        <v>5804226.954</v>
      </c>
      <c r="L54" s="22"/>
      <c r="M54" s="94"/>
      <c r="N54" s="98"/>
      <c r="P54" s="69">
        <f>D109</f>
        <v>9673711.59</v>
      </c>
      <c r="S54" s="98"/>
      <c r="T54" s="85">
        <f>P54*Y54+K54*4</f>
        <v>81259177.356</v>
      </c>
      <c r="V54" s="74">
        <v>0.8</v>
      </c>
      <c r="W54" s="63">
        <f>T54*V54</f>
        <v>65007341.88480001</v>
      </c>
      <c r="X54" s="71">
        <f>W54/$W$62</f>
        <v>0.33418702925668886</v>
      </c>
      <c r="Y54" s="93">
        <v>6</v>
      </c>
      <c r="AA54" s="341">
        <f>W54+W55+W56+W67</f>
        <v>82189026.46160303</v>
      </c>
      <c r="AB54" s="328">
        <f>AA54/W62</f>
        <v>0.4225139160339167</v>
      </c>
    </row>
    <row r="55" spans="4:25" ht="13.5">
      <c r="D55" s="49"/>
      <c r="E55" s="22"/>
      <c r="F55" s="49" t="s">
        <v>248</v>
      </c>
      <c r="G55" s="22"/>
      <c r="H55" s="22"/>
      <c r="I55" s="22"/>
      <c r="J55" s="22"/>
      <c r="K55" s="22"/>
      <c r="L55" s="22"/>
      <c r="M55" s="94"/>
      <c r="N55" s="175"/>
      <c r="P55" s="69">
        <v>235181.72</v>
      </c>
      <c r="S55" s="175"/>
      <c r="T55" s="85">
        <f>P55*Y55</f>
        <v>2351817.2</v>
      </c>
      <c r="V55" s="74">
        <v>0.8</v>
      </c>
      <c r="W55" s="63">
        <f>T55*V55</f>
        <v>1881453.7600000002</v>
      </c>
      <c r="X55" s="71">
        <f>W55/$W$62</f>
        <v>0.00967209894310789</v>
      </c>
      <c r="Y55" s="93">
        <v>10</v>
      </c>
    </row>
    <row r="56" spans="4:25" ht="13.5">
      <c r="D56" s="49" t="s">
        <v>163</v>
      </c>
      <c r="E56" s="22"/>
      <c r="F56" s="22"/>
      <c r="G56" s="49" t="s">
        <v>254</v>
      </c>
      <c r="H56" s="22"/>
      <c r="I56" s="22"/>
      <c r="J56" s="22"/>
      <c r="K56" s="22"/>
      <c r="L56" s="22"/>
      <c r="M56" s="94"/>
      <c r="N56" s="99"/>
      <c r="P56" s="69">
        <f>AND!T6</f>
        <v>5806789.7936679255</v>
      </c>
      <c r="Q56" s="116"/>
      <c r="S56" s="99"/>
      <c r="T56" s="85">
        <f>P56*Y56</f>
        <v>17420369.381003775</v>
      </c>
      <c r="V56" s="74">
        <v>0.8</v>
      </c>
      <c r="W56" s="63">
        <f>T56*V56</f>
        <v>13936295.50480302</v>
      </c>
      <c r="X56" s="71">
        <f>W56/$W$62</f>
        <v>0.07164312612330398</v>
      </c>
      <c r="Y56" s="93">
        <v>3</v>
      </c>
    </row>
    <row r="61" spans="3:24" ht="8.25" customHeight="1" thickBot="1">
      <c r="C61" s="259"/>
      <c r="D61" s="259"/>
      <c r="E61" s="259"/>
      <c r="F61" s="259"/>
      <c r="G61" s="259"/>
      <c r="H61" s="259"/>
      <c r="I61" s="259"/>
      <c r="J61" s="259"/>
      <c r="K61" s="259"/>
      <c r="L61" s="259"/>
      <c r="M61" s="259"/>
      <c r="N61" s="260"/>
      <c r="O61" s="259"/>
      <c r="P61" s="259"/>
      <c r="Q61" s="259"/>
      <c r="R61" s="259"/>
      <c r="S61" s="260"/>
      <c r="T61" s="261"/>
      <c r="U61" s="259"/>
      <c r="V61" s="259"/>
      <c r="W61" s="259"/>
      <c r="X61" s="259"/>
    </row>
    <row r="62" spans="6:24" ht="17.25" thickBot="1">
      <c r="F62" t="s">
        <v>309</v>
      </c>
      <c r="P62" s="187">
        <f>SUM(P7:P56)</f>
        <v>43505239.60366793</v>
      </c>
      <c r="T62" s="193">
        <f>SUM(T8:T56)</f>
        <v>253743273.79700378</v>
      </c>
      <c r="V62" s="66" t="s">
        <v>124</v>
      </c>
      <c r="W62" s="158">
        <f>SUM(W8:W56)</f>
        <v>194523833.04460302</v>
      </c>
      <c r="X62" s="82">
        <f>W62/$W$62</f>
        <v>1</v>
      </c>
    </row>
    <row r="63" spans="4:17" ht="12.75">
      <c r="D63" s="80"/>
      <c r="F63" t="s">
        <v>310</v>
      </c>
      <c r="Q63" t="s">
        <v>293</v>
      </c>
    </row>
    <row r="64" ht="12.75">
      <c r="F64" t="s">
        <v>308</v>
      </c>
    </row>
    <row r="66" spans="3:23" ht="6" customHeight="1">
      <c r="C66" s="62"/>
      <c r="D66" s="62"/>
      <c r="E66" s="62"/>
      <c r="F66" s="62"/>
      <c r="G66" s="62"/>
      <c r="H66" s="62"/>
      <c r="I66" s="62"/>
      <c r="J66" s="62"/>
      <c r="K66" s="62"/>
      <c r="L66" s="62"/>
      <c r="M66" s="62"/>
      <c r="N66" s="79"/>
      <c r="O66" s="62"/>
      <c r="P66" s="62"/>
      <c r="Q66" s="62"/>
      <c r="R66" s="62"/>
      <c r="S66" s="79"/>
      <c r="T66" s="87"/>
      <c r="U66" s="62"/>
      <c r="V66" s="62"/>
      <c r="W66" s="62"/>
    </row>
    <row r="67" spans="4:25" ht="14.25" thickBot="1">
      <c r="D67" s="49" t="s">
        <v>201</v>
      </c>
      <c r="E67" s="22"/>
      <c r="F67" s="22"/>
      <c r="G67" s="22"/>
      <c r="H67" s="22"/>
      <c r="I67" s="22"/>
      <c r="J67" s="22"/>
      <c r="K67" s="22"/>
      <c r="L67" s="22"/>
      <c r="M67" s="94"/>
      <c r="N67" s="100"/>
      <c r="P67" s="69">
        <f>80261.1+113770.09+90122</f>
        <v>284153.19</v>
      </c>
      <c r="S67" s="100"/>
      <c r="T67" s="85">
        <f>P67*6</f>
        <v>1704919.1400000001</v>
      </c>
      <c r="V67" s="74">
        <v>0.8</v>
      </c>
      <c r="W67" s="63">
        <f>T67*V67</f>
        <v>1363935.3120000002</v>
      </c>
      <c r="X67" s="71">
        <f>W67/$W$62</f>
        <v>0.007011661710815964</v>
      </c>
      <c r="Y67" s="93">
        <v>6</v>
      </c>
    </row>
    <row r="68" spans="4:25" ht="13.5">
      <c r="D68" s="52" t="s">
        <v>258</v>
      </c>
      <c r="E68" s="53"/>
      <c r="F68" s="53"/>
      <c r="G68" s="53"/>
      <c r="H68" s="53"/>
      <c r="I68" s="53"/>
      <c r="J68" s="53"/>
      <c r="K68" s="53"/>
      <c r="L68" s="53"/>
      <c r="M68" s="53"/>
      <c r="N68" s="78"/>
      <c r="P68" s="90"/>
      <c r="Q68" s="69">
        <v>1225350</v>
      </c>
      <c r="S68" s="78"/>
      <c r="T68" s="85">
        <f>Q68*6</f>
        <v>7352100</v>
      </c>
      <c r="V68" s="74">
        <v>0.8</v>
      </c>
      <c r="W68" s="63">
        <f>T68*V68</f>
        <v>5881680</v>
      </c>
      <c r="X68" s="71">
        <f>W68/$W$62</f>
        <v>0.03023629499759739</v>
      </c>
      <c r="Y68" s="93">
        <v>4</v>
      </c>
    </row>
    <row r="69" ht="12.75">
      <c r="D69" s="109" t="s">
        <v>249</v>
      </c>
    </row>
    <row r="70" spans="3:23" ht="6" customHeight="1">
      <c r="C70" s="62"/>
      <c r="D70" s="62"/>
      <c r="E70" s="62"/>
      <c r="F70" s="62"/>
      <c r="G70" s="62"/>
      <c r="H70" s="62"/>
      <c r="I70" s="62"/>
      <c r="J70" s="62"/>
      <c r="K70" s="62"/>
      <c r="L70" s="62"/>
      <c r="M70" s="62"/>
      <c r="N70" s="79"/>
      <c r="O70" s="62"/>
      <c r="P70" s="62"/>
      <c r="Q70" s="62"/>
      <c r="R70" s="62"/>
      <c r="S70" s="79"/>
      <c r="T70" s="87"/>
      <c r="U70" s="62"/>
      <c r="V70" s="62"/>
      <c r="W70" s="62"/>
    </row>
    <row r="71" spans="3:23" ht="6" customHeight="1">
      <c r="C71" s="62"/>
      <c r="D71" s="62"/>
      <c r="E71" s="62"/>
      <c r="F71" s="62"/>
      <c r="G71" s="62"/>
      <c r="H71" s="62"/>
      <c r="I71" s="62"/>
      <c r="J71" s="62"/>
      <c r="K71" s="62"/>
      <c r="L71" s="62"/>
      <c r="M71" s="62"/>
      <c r="N71" s="79"/>
      <c r="O71" s="62"/>
      <c r="P71" s="62"/>
      <c r="Q71" s="62"/>
      <c r="R71" s="62"/>
      <c r="S71" s="79"/>
      <c r="T71" s="87"/>
      <c r="U71" s="62"/>
      <c r="V71" s="62"/>
      <c r="W71" s="62"/>
    </row>
    <row r="72" spans="3:23" ht="6" customHeight="1">
      <c r="C72" s="62"/>
      <c r="D72" s="62"/>
      <c r="E72" s="62"/>
      <c r="F72" s="62"/>
      <c r="G72" s="62"/>
      <c r="H72" s="62"/>
      <c r="I72" s="62"/>
      <c r="J72" s="62"/>
      <c r="K72" s="62"/>
      <c r="L72" s="62"/>
      <c r="M72" s="62"/>
      <c r="N72" s="79"/>
      <c r="O72" s="62"/>
      <c r="P72" s="62"/>
      <c r="Q72" s="62"/>
      <c r="R72" s="62"/>
      <c r="S72" s="79"/>
      <c r="T72" s="87"/>
      <c r="U72" s="62"/>
      <c r="V72" s="62"/>
      <c r="W72" s="62"/>
    </row>
    <row r="73" spans="3:23" ht="6" customHeight="1">
      <c r="C73" s="62"/>
      <c r="D73" s="62"/>
      <c r="E73" s="62"/>
      <c r="F73" s="62"/>
      <c r="G73" s="62"/>
      <c r="H73" s="62"/>
      <c r="I73" s="62"/>
      <c r="J73" s="62"/>
      <c r="K73" s="62"/>
      <c r="L73" s="62"/>
      <c r="M73" s="62"/>
      <c r="N73" s="79"/>
      <c r="O73" s="62"/>
      <c r="P73" s="62"/>
      <c r="Q73" s="62"/>
      <c r="R73" s="62"/>
      <c r="S73" s="79"/>
      <c r="T73" s="87"/>
      <c r="U73" s="62"/>
      <c r="V73" s="62"/>
      <c r="W73" s="62"/>
    </row>
    <row r="74" spans="3:23" ht="6" customHeight="1">
      <c r="C74" s="62"/>
      <c r="D74" s="62"/>
      <c r="E74" s="62"/>
      <c r="F74" s="62"/>
      <c r="G74" s="62"/>
      <c r="H74" s="62"/>
      <c r="I74" s="62"/>
      <c r="J74" s="62"/>
      <c r="K74" s="62"/>
      <c r="L74" s="62"/>
      <c r="M74" s="62"/>
      <c r="N74" s="79"/>
      <c r="O74" s="62"/>
      <c r="P74" s="62"/>
      <c r="Q74" s="62"/>
      <c r="R74" s="62"/>
      <c r="S74" s="79"/>
      <c r="T74" s="87"/>
      <c r="U74" s="62"/>
      <c r="V74" s="62"/>
      <c r="W74" s="62"/>
    </row>
    <row r="76" spans="4:5" ht="12.75">
      <c r="D76" s="22" t="s">
        <v>205</v>
      </c>
      <c r="E76" s="67">
        <f>E77*4</f>
        <v>687999.2</v>
      </c>
    </row>
    <row r="77" spans="4:5" ht="12.75">
      <c r="D77" t="s">
        <v>171</v>
      </c>
      <c r="E77" s="68">
        <v>171999.8</v>
      </c>
    </row>
    <row r="79" spans="3:5" ht="12.75">
      <c r="C79" s="22"/>
      <c r="D79" s="49" t="s">
        <v>125</v>
      </c>
      <c r="E79" s="49" t="s">
        <v>177</v>
      </c>
    </row>
    <row r="80" spans="3:5" ht="13.5">
      <c r="C80" s="22"/>
      <c r="D80" s="57" t="s">
        <v>176</v>
      </c>
      <c r="E80" s="57" t="s">
        <v>175</v>
      </c>
    </row>
    <row r="81" spans="3:5" ht="12.75">
      <c r="C81" s="22"/>
      <c r="D81" s="22"/>
      <c r="E81" s="22"/>
    </row>
    <row r="82" spans="3:5" ht="13.5">
      <c r="C82" s="57">
        <v>2005</v>
      </c>
      <c r="D82" s="64">
        <v>6734159.7</v>
      </c>
      <c r="E82" s="57">
        <v>368</v>
      </c>
    </row>
    <row r="83" spans="3:5" ht="12.75">
      <c r="C83" s="22"/>
      <c r="D83" s="22"/>
      <c r="E83" s="22"/>
    </row>
    <row r="84" spans="3:5" ht="13.5">
      <c r="C84" s="57">
        <v>2007</v>
      </c>
      <c r="D84" s="64">
        <f>8793011.4+1373858.6</f>
        <v>10166870</v>
      </c>
      <c r="E84" s="57">
        <f>414+74</f>
        <v>488</v>
      </c>
    </row>
    <row r="85" spans="3:5" ht="12.75">
      <c r="C85" s="22"/>
      <c r="D85" s="22"/>
      <c r="E85" s="22"/>
    </row>
    <row r="88" spans="3:5" ht="12.75">
      <c r="C88" s="22"/>
      <c r="D88" s="49" t="s">
        <v>178</v>
      </c>
      <c r="E88" s="49"/>
    </row>
    <row r="89" spans="3:6" ht="13.5">
      <c r="C89" s="22"/>
      <c r="D89" s="57" t="s">
        <v>179</v>
      </c>
      <c r="E89" s="72" t="s">
        <v>180</v>
      </c>
      <c r="F89" s="73" t="s">
        <v>202</v>
      </c>
    </row>
    <row r="90" spans="3:5" ht="12.75">
      <c r="C90" s="22"/>
      <c r="D90" s="22"/>
      <c r="E90" s="22"/>
    </row>
    <row r="91" spans="3:5" ht="13.5">
      <c r="C91" s="57">
        <v>2005</v>
      </c>
      <c r="D91" s="70">
        <v>959197.73</v>
      </c>
      <c r="E91" s="70">
        <v>824954.64</v>
      </c>
    </row>
    <row r="92" spans="3:5" ht="12.75">
      <c r="C92" s="22"/>
      <c r="D92" s="35"/>
      <c r="E92" s="35"/>
    </row>
    <row r="93" spans="3:6" ht="13.5">
      <c r="C93" s="57">
        <v>2007</v>
      </c>
      <c r="D93" s="117">
        <v>2433704.27</v>
      </c>
      <c r="E93" s="95"/>
      <c r="F93" s="118">
        <f>P31</f>
        <v>371830.32</v>
      </c>
    </row>
    <row r="94" spans="3:5" ht="12.75">
      <c r="C94" s="22"/>
      <c r="D94" s="25"/>
      <c r="E94" s="25"/>
    </row>
    <row r="96" ht="12.75">
      <c r="D96" t="s">
        <v>158</v>
      </c>
    </row>
    <row r="97" spans="3:12" ht="12.75">
      <c r="C97" t="s">
        <v>181</v>
      </c>
      <c r="G97" s="62" t="s">
        <v>157</v>
      </c>
      <c r="H97" s="62"/>
      <c r="I97" s="62"/>
      <c r="J97" s="62"/>
      <c r="K97" s="62"/>
      <c r="L97" s="62"/>
    </row>
    <row r="98" spans="4:11" ht="12.75">
      <c r="D98" t="s">
        <v>182</v>
      </c>
      <c r="H98" s="65" t="s">
        <v>184</v>
      </c>
      <c r="I98" s="578" t="s">
        <v>183</v>
      </c>
      <c r="J98" s="578"/>
      <c r="K98" s="578"/>
    </row>
    <row r="99" spans="3:12" ht="13.5">
      <c r="C99">
        <v>5</v>
      </c>
      <c r="D99" s="115">
        <v>138912.98</v>
      </c>
      <c r="E99" s="75">
        <f>D99/C99</f>
        <v>27782.596</v>
      </c>
      <c r="F99" s="80" t="s">
        <v>256</v>
      </c>
      <c r="G99" s="57">
        <v>2005</v>
      </c>
      <c r="H99">
        <v>64</v>
      </c>
      <c r="I99">
        <v>87</v>
      </c>
      <c r="J99">
        <v>5</v>
      </c>
      <c r="K99">
        <v>5</v>
      </c>
      <c r="L99" s="22">
        <f>H99+I99+J99+K99</f>
        <v>161</v>
      </c>
    </row>
    <row r="100" spans="3:6" ht="12.75">
      <c r="C100">
        <v>5</v>
      </c>
      <c r="D100" s="115">
        <v>95404.7</v>
      </c>
      <c r="E100" s="75">
        <f>D100/C100</f>
        <v>19080.94</v>
      </c>
      <c r="F100" s="80" t="s">
        <v>257</v>
      </c>
    </row>
    <row r="101" spans="7:12" ht="13.5">
      <c r="G101" s="57">
        <v>2007</v>
      </c>
      <c r="H101">
        <v>64</v>
      </c>
      <c r="I101">
        <v>87</v>
      </c>
      <c r="J101">
        <v>5</v>
      </c>
      <c r="K101">
        <v>5</v>
      </c>
      <c r="L101" s="22">
        <f>H101+I101+J101+K101</f>
        <v>161</v>
      </c>
    </row>
    <row r="104" spans="3:5" ht="12.75">
      <c r="C104" s="22"/>
      <c r="D104" s="49" t="s">
        <v>200</v>
      </c>
      <c r="E104" s="49"/>
    </row>
    <row r="105" spans="3:12" ht="13.5">
      <c r="C105" s="61"/>
      <c r="D105" s="110" t="s">
        <v>196</v>
      </c>
      <c r="E105" s="110" t="s">
        <v>197</v>
      </c>
      <c r="F105" s="111" t="s">
        <v>175</v>
      </c>
      <c r="G105" s="112" t="s">
        <v>195</v>
      </c>
      <c r="H105" s="62"/>
      <c r="I105" s="62"/>
      <c r="J105" s="62"/>
      <c r="K105" s="110" t="s">
        <v>199</v>
      </c>
      <c r="L105" s="62"/>
    </row>
    <row r="106" spans="3:6" ht="12.75">
      <c r="C106" s="22"/>
      <c r="D106" s="22"/>
      <c r="E106" s="22"/>
      <c r="F106" s="65"/>
    </row>
    <row r="107" spans="3:6" ht="13.5">
      <c r="C107" s="57">
        <v>2005</v>
      </c>
      <c r="D107" s="70"/>
      <c r="E107" s="70"/>
      <c r="F107" s="65"/>
    </row>
    <row r="108" spans="3:6" ht="12.75">
      <c r="C108" s="22"/>
      <c r="D108" s="22"/>
      <c r="E108" s="22"/>
      <c r="F108" s="65"/>
    </row>
    <row r="109" spans="3:12" ht="13.5">
      <c r="C109" s="57">
        <v>2007</v>
      </c>
      <c r="D109" s="70">
        <v>9673711.59</v>
      </c>
      <c r="E109" s="70">
        <v>235181.72</v>
      </c>
      <c r="F109" s="108">
        <v>5176</v>
      </c>
      <c r="G109" s="22">
        <v>402</v>
      </c>
      <c r="K109" s="70">
        <v>682582.8</v>
      </c>
      <c r="L109" s="113">
        <f>K109/D109</f>
        <v>0.07056059028114979</v>
      </c>
    </row>
    <row r="110" spans="3:5" ht="12.75">
      <c r="C110" s="22"/>
      <c r="D110" s="22"/>
      <c r="E110" s="22"/>
    </row>
    <row r="111" spans="3:5" ht="12.75">
      <c r="C111" s="22"/>
      <c r="D111" s="22"/>
      <c r="E111" s="22"/>
    </row>
  </sheetData>
  <mergeCells count="1">
    <mergeCell ref="I98:K98"/>
  </mergeCells>
  <printOptions/>
  <pageMargins left="0.49" right="0.23" top="0.23" bottom="0.29" header="0.14" footer="0"/>
  <pageSetup fitToHeight="2" fitToWidth="1" horizontalDpi="300" verticalDpi="300" orientation="landscape" paperSize="9" scale="70" r:id="rId2"/>
  <headerFooter alignWithMargins="0">
    <oddFooter>&amp;R&amp;8&amp;F &amp;D &amp;P/&amp;N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4:Z75"/>
  <sheetViews>
    <sheetView zoomScale="80" zoomScaleNormal="80" workbookViewId="0" topLeftCell="A7">
      <selection activeCell="V40" sqref="V40"/>
    </sheetView>
  </sheetViews>
  <sheetFormatPr defaultColWidth="11.421875" defaultRowHeight="12.75" outlineLevelCol="1"/>
  <cols>
    <col min="1" max="1" width="1.28515625" style="0" customWidth="1"/>
    <col min="2" max="2" width="4.8515625" style="0" customWidth="1"/>
    <col min="3" max="3" width="4.421875" style="0" customWidth="1"/>
    <col min="4" max="4" width="12.140625" style="0" bestFit="1" customWidth="1"/>
    <col min="5" max="5" width="11.7109375" style="0" bestFit="1" customWidth="1"/>
    <col min="6" max="6" width="23.8515625" style="0" customWidth="1"/>
    <col min="7" max="10" width="4.7109375" style="0" customWidth="1" outlineLevel="1"/>
    <col min="11" max="11" width="8.8515625" style="0" bestFit="1" customWidth="1"/>
    <col min="12" max="12" width="9.57421875" style="0" customWidth="1"/>
    <col min="13" max="13" width="5.7109375" style="0" customWidth="1"/>
    <col min="14" max="14" width="11.421875" style="77" customWidth="1"/>
    <col min="15" max="15" width="0.9921875" style="0" customWidth="1"/>
    <col min="16" max="16" width="11.57421875" style="0" bestFit="1" customWidth="1"/>
    <col min="17" max="17" width="11.00390625" style="0" customWidth="1"/>
    <col min="18" max="18" width="9.421875" style="0" customWidth="1"/>
    <col min="19" max="19" width="11.421875" style="77" customWidth="1"/>
    <col min="20" max="20" width="12.421875" style="84" bestFit="1" customWidth="1"/>
    <col min="21" max="21" width="1.1484375" style="0" customWidth="1"/>
    <col min="22" max="22" width="10.00390625" style="0" customWidth="1"/>
    <col min="23" max="23" width="13.140625" style="0" customWidth="1"/>
    <col min="24" max="24" width="8.28125" style="0" customWidth="1"/>
    <col min="25" max="25" width="3.57421875" style="0" customWidth="1"/>
  </cols>
  <sheetData>
    <row r="4" spans="2:23" ht="13.5" thickBot="1">
      <c r="B4" s="152" t="s">
        <v>166</v>
      </c>
      <c r="C4" s="513" t="s">
        <v>261</v>
      </c>
      <c r="D4" s="514"/>
      <c r="E4" s="152" t="s">
        <v>186</v>
      </c>
      <c r="F4" s="191"/>
      <c r="G4" s="191"/>
      <c r="H4" s="191"/>
      <c r="I4" s="191"/>
      <c r="J4" s="191"/>
      <c r="K4" s="191"/>
      <c r="L4" s="191"/>
      <c r="M4" s="191"/>
      <c r="N4" s="196" t="s">
        <v>262</v>
      </c>
      <c r="O4" s="191"/>
      <c r="P4" s="191"/>
      <c r="Q4" s="191"/>
      <c r="R4" s="191"/>
      <c r="S4" s="196" t="s">
        <v>262</v>
      </c>
      <c r="T4" s="196" t="s">
        <v>194</v>
      </c>
      <c r="V4" s="48" t="s">
        <v>260</v>
      </c>
      <c r="W4" s="48"/>
    </row>
    <row r="5" spans="7:24" ht="14.25" thickBot="1">
      <c r="G5" s="81">
        <v>2000</v>
      </c>
      <c r="H5" s="81">
        <v>2001</v>
      </c>
      <c r="I5" s="81">
        <v>2002</v>
      </c>
      <c r="J5" s="81">
        <v>2003</v>
      </c>
      <c r="K5" s="201">
        <v>2004</v>
      </c>
      <c r="L5" s="201">
        <v>2005</v>
      </c>
      <c r="M5" s="201">
        <v>2006</v>
      </c>
      <c r="N5" s="202" t="s">
        <v>105</v>
      </c>
      <c r="O5" s="203"/>
      <c r="P5" s="201">
        <v>2007</v>
      </c>
      <c r="Q5" s="201">
        <v>2008</v>
      </c>
      <c r="R5" s="201">
        <v>2009</v>
      </c>
      <c r="S5" s="202" t="s">
        <v>122</v>
      </c>
      <c r="T5" s="88" t="s">
        <v>187</v>
      </c>
      <c r="V5" s="46" t="s">
        <v>129</v>
      </c>
      <c r="W5" s="46" t="s">
        <v>130</v>
      </c>
      <c r="X5" s="190" t="s">
        <v>259</v>
      </c>
    </row>
    <row r="6" spans="2:25" ht="12.75">
      <c r="B6" s="525" t="s">
        <v>128</v>
      </c>
      <c r="C6" s="524"/>
      <c r="D6" s="524"/>
      <c r="E6" s="524"/>
      <c r="F6" s="524"/>
      <c r="G6" s="524"/>
      <c r="H6" s="524"/>
      <c r="I6" s="524"/>
      <c r="J6" s="524"/>
      <c r="K6" s="524"/>
      <c r="L6" s="524"/>
      <c r="M6" s="524"/>
      <c r="N6" s="525"/>
      <c r="O6" s="524"/>
      <c r="P6" s="524"/>
      <c r="Q6" s="524"/>
      <c r="R6" s="524"/>
      <c r="S6" s="525"/>
      <c r="T6" s="527"/>
      <c r="U6" s="524"/>
      <c r="V6" s="527"/>
      <c r="W6" s="527"/>
      <c r="X6" s="528">
        <f>SUM(X8:X14)</f>
        <v>0.36251917548063345</v>
      </c>
      <c r="Y6" s="93" t="s">
        <v>406</v>
      </c>
    </row>
    <row r="7" spans="3:19" ht="13.5" thickBot="1">
      <c r="C7" t="s">
        <v>131</v>
      </c>
      <c r="K7" s="62"/>
      <c r="L7" s="62"/>
      <c r="M7" s="62"/>
      <c r="N7" s="79"/>
      <c r="O7" s="62"/>
      <c r="P7" s="62"/>
      <c r="Q7" s="62"/>
      <c r="R7" s="62"/>
      <c r="S7" s="79"/>
    </row>
    <row r="8" spans="4:25" ht="13.5">
      <c r="D8" s="49" t="s">
        <v>170</v>
      </c>
      <c r="E8" s="22"/>
      <c r="F8" s="22"/>
      <c r="G8" s="22"/>
      <c r="H8" s="22"/>
      <c r="I8" s="22"/>
      <c r="J8" s="22"/>
      <c r="K8" s="61"/>
      <c r="L8" s="204">
        <v>2972230.32</v>
      </c>
      <c r="M8" s="101"/>
      <c r="N8" s="205"/>
      <c r="O8" s="62"/>
      <c r="P8" s="204">
        <f>2838603.05+271908.01+109004.79</f>
        <v>3219515.8499999996</v>
      </c>
      <c r="Q8" s="62"/>
      <c r="R8" s="62"/>
      <c r="S8" s="205"/>
      <c r="T8" s="85">
        <f>L8*Y8</f>
        <v>11888921.28</v>
      </c>
      <c r="V8" s="58">
        <v>0.8</v>
      </c>
      <c r="W8" s="63">
        <f>T8*V8</f>
        <v>9511137.024</v>
      </c>
      <c r="X8" s="71">
        <f>W8/$W$32</f>
        <v>0.09918198057287204</v>
      </c>
      <c r="Y8" s="93">
        <v>4</v>
      </c>
    </row>
    <row r="9" spans="4:25" ht="13.5">
      <c r="D9" s="49" t="s">
        <v>252</v>
      </c>
      <c r="E9" s="22"/>
      <c r="F9" s="22"/>
      <c r="G9" s="22"/>
      <c r="H9" s="22"/>
      <c r="I9" s="22"/>
      <c r="J9" s="22"/>
      <c r="K9" s="61"/>
      <c r="L9" s="204">
        <v>813383</v>
      </c>
      <c r="M9" s="101"/>
      <c r="N9" s="206"/>
      <c r="O9" s="62"/>
      <c r="P9" s="204">
        <v>1531631.93</v>
      </c>
      <c r="Q9" s="62"/>
      <c r="R9" s="62"/>
      <c r="S9" s="206"/>
      <c r="T9" s="85">
        <f>L9*Y9</f>
        <v>3253532</v>
      </c>
      <c r="V9" s="58">
        <v>0.8</v>
      </c>
      <c r="W9" s="63">
        <f>T9*V9</f>
        <v>2602825.6</v>
      </c>
      <c r="X9" s="71">
        <f>W9/$W$32</f>
        <v>0.027142222579946088</v>
      </c>
      <c r="Y9" s="93">
        <v>4</v>
      </c>
    </row>
    <row r="10" spans="4:25" ht="14.25" thickBot="1">
      <c r="D10" s="49" t="s">
        <v>253</v>
      </c>
      <c r="E10" s="22"/>
      <c r="F10" s="22"/>
      <c r="G10" s="22"/>
      <c r="H10" s="22"/>
      <c r="I10" s="22"/>
      <c r="J10" s="22"/>
      <c r="K10" s="61"/>
      <c r="L10" s="204">
        <f>750194+1149302</f>
        <v>1899496</v>
      </c>
      <c r="M10" s="101"/>
      <c r="N10" s="207"/>
      <c r="O10" s="62"/>
      <c r="P10" s="204">
        <v>1142899.51</v>
      </c>
      <c r="Q10" s="62"/>
      <c r="R10" s="62"/>
      <c r="S10" s="207"/>
      <c r="T10" s="85">
        <f>L10*Y10</f>
        <v>7597984</v>
      </c>
      <c r="V10" s="74">
        <v>0</v>
      </c>
      <c r="W10" s="63">
        <f>T10*V10</f>
        <v>0</v>
      </c>
      <c r="X10" s="71">
        <f>W10/$W$32</f>
        <v>0</v>
      </c>
      <c r="Y10" s="93">
        <v>4</v>
      </c>
    </row>
    <row r="11" spans="11:19" ht="12.75">
      <c r="K11" s="62"/>
      <c r="L11" s="62"/>
      <c r="M11" s="62"/>
      <c r="N11" s="79"/>
      <c r="O11" s="62"/>
      <c r="P11" s="62"/>
      <c r="Q11" s="62"/>
      <c r="R11" s="62"/>
      <c r="S11" s="79"/>
    </row>
    <row r="12" spans="3:19" ht="13.5" thickBot="1">
      <c r="C12" t="s">
        <v>139</v>
      </c>
      <c r="K12" s="62"/>
      <c r="L12" s="62"/>
      <c r="M12" s="62"/>
      <c r="N12" s="79"/>
      <c r="O12" s="62"/>
      <c r="P12" s="62"/>
      <c r="Q12" s="62"/>
      <c r="R12" s="62"/>
      <c r="S12" s="79"/>
    </row>
    <row r="13" spans="4:25" ht="13.5">
      <c r="D13" s="49" t="s">
        <v>140</v>
      </c>
      <c r="E13" s="22"/>
      <c r="F13" s="22"/>
      <c r="G13" s="22"/>
      <c r="H13" s="22"/>
      <c r="I13" s="22"/>
      <c r="J13" s="22"/>
      <c r="K13" s="61"/>
      <c r="L13" s="530">
        <f>D46</f>
        <v>6734159.7</v>
      </c>
      <c r="M13" s="101"/>
      <c r="N13" s="205"/>
      <c r="O13" s="62"/>
      <c r="P13" s="204">
        <f>D48</f>
        <v>10166870</v>
      </c>
      <c r="Q13" s="204">
        <v>13726377</v>
      </c>
      <c r="R13" s="62"/>
      <c r="S13" s="205"/>
      <c r="T13" s="531">
        <f>L13*Y13</f>
        <v>26936638.8</v>
      </c>
      <c r="V13" s="58">
        <v>0.8</v>
      </c>
      <c r="W13" s="63">
        <f>T13*V13</f>
        <v>21549311.040000003</v>
      </c>
      <c r="X13" s="71">
        <f>W13/$W$32</f>
        <v>0.22471586136703495</v>
      </c>
      <c r="Y13" s="93">
        <v>4</v>
      </c>
    </row>
    <row r="14" spans="4:25" ht="13.5">
      <c r="D14" s="49" t="s">
        <v>141</v>
      </c>
      <c r="E14" s="22"/>
      <c r="F14" s="22"/>
      <c r="G14" s="61" t="s">
        <v>172</v>
      </c>
      <c r="H14" s="61" t="s">
        <v>173</v>
      </c>
      <c r="I14" s="22"/>
      <c r="J14" s="61" t="s">
        <v>204</v>
      </c>
      <c r="K14" s="62"/>
      <c r="L14" s="204">
        <f>E40</f>
        <v>687999.2</v>
      </c>
      <c r="M14" s="101"/>
      <c r="N14" s="206"/>
      <c r="O14" s="62"/>
      <c r="P14" s="208">
        <f>E40/2</f>
        <v>343999.6</v>
      </c>
      <c r="Q14" s="62"/>
      <c r="R14" s="62"/>
      <c r="S14" s="206"/>
      <c r="T14" s="85">
        <f>L14*Y14</f>
        <v>1375998.4</v>
      </c>
      <c r="V14" s="58">
        <v>0.8</v>
      </c>
      <c r="W14" s="63">
        <f>T14*V14</f>
        <v>1100798.72</v>
      </c>
      <c r="X14" s="71">
        <f>W14/$W$32</f>
        <v>0.011479110960780373</v>
      </c>
      <c r="Y14" s="93">
        <v>2</v>
      </c>
    </row>
    <row r="15" spans="11:19" ht="12.75">
      <c r="K15" s="62"/>
      <c r="L15" s="62"/>
      <c r="M15" s="62"/>
      <c r="N15" s="79"/>
      <c r="O15" s="62"/>
      <c r="P15" s="62"/>
      <c r="Q15" s="62"/>
      <c r="R15" s="62"/>
      <c r="S15" s="79"/>
    </row>
    <row r="16" spans="11:19" ht="12.75">
      <c r="K16" s="62"/>
      <c r="L16" s="62"/>
      <c r="M16" s="62"/>
      <c r="N16" s="79"/>
      <c r="O16" s="62"/>
      <c r="P16" s="62"/>
      <c r="Q16" s="62"/>
      <c r="R16" s="62"/>
      <c r="S16" s="79"/>
    </row>
    <row r="17" spans="2:24" ht="12.75">
      <c r="B17" s="525" t="s">
        <v>144</v>
      </c>
      <c r="C17" s="524"/>
      <c r="D17" s="524"/>
      <c r="E17" s="524"/>
      <c r="F17" s="524"/>
      <c r="G17" s="524"/>
      <c r="H17" s="524"/>
      <c r="I17" s="524"/>
      <c r="J17" s="524"/>
      <c r="K17" s="524"/>
      <c r="L17" s="524"/>
      <c r="M17" s="524"/>
      <c r="N17" s="525"/>
      <c r="O17" s="524"/>
      <c r="P17" s="524"/>
      <c r="Q17" s="524"/>
      <c r="R17" s="524"/>
      <c r="S17" s="525"/>
      <c r="T17" s="527"/>
      <c r="U17" s="524"/>
      <c r="V17" s="527"/>
      <c r="W17" s="527"/>
      <c r="X17" s="528">
        <f>SUM(X19:X25)</f>
        <v>0.19366584398340383</v>
      </c>
    </row>
    <row r="18" spans="3:19" ht="12.75">
      <c r="C18" t="s">
        <v>151</v>
      </c>
      <c r="K18" s="62"/>
      <c r="L18" s="62"/>
      <c r="M18" s="62"/>
      <c r="N18" s="79"/>
      <c r="O18" s="62"/>
      <c r="P18" s="62"/>
      <c r="Q18" s="62"/>
      <c r="R18" s="62"/>
      <c r="S18" s="79"/>
    </row>
    <row r="19" spans="4:25" ht="13.5">
      <c r="D19" s="49" t="s">
        <v>405</v>
      </c>
      <c r="E19" s="22"/>
      <c r="F19" s="22"/>
      <c r="G19" s="22"/>
      <c r="H19" s="22"/>
      <c r="I19" s="22"/>
      <c r="J19" s="22"/>
      <c r="K19" s="61"/>
      <c r="L19" s="530">
        <f>D55+E55</f>
        <v>1784152.37</v>
      </c>
      <c r="M19" s="101"/>
      <c r="N19" s="206"/>
      <c r="O19" s="62"/>
      <c r="P19" s="204">
        <v>2433704.27</v>
      </c>
      <c r="Q19" s="62"/>
      <c r="R19" s="62"/>
      <c r="S19" s="206"/>
      <c r="T19" s="85">
        <f>L19*Y19</f>
        <v>7136609.48</v>
      </c>
      <c r="V19" s="58">
        <v>0.85</v>
      </c>
      <c r="W19" s="63">
        <f>T19*V19</f>
        <v>6066118.058</v>
      </c>
      <c r="X19" s="71">
        <f>W19/$W$32</f>
        <v>0.0632573794135367</v>
      </c>
      <c r="Y19" s="93">
        <v>4</v>
      </c>
    </row>
    <row r="20" spans="11:19" ht="12.75">
      <c r="K20" s="62"/>
      <c r="L20" s="62"/>
      <c r="M20" s="62"/>
      <c r="N20" s="79"/>
      <c r="O20" s="62"/>
      <c r="P20" s="62"/>
      <c r="Q20" s="62"/>
      <c r="R20" s="62"/>
      <c r="S20" s="79"/>
    </row>
    <row r="21" spans="3:19" ht="14.25" thickBot="1">
      <c r="C21" t="s">
        <v>156</v>
      </c>
      <c r="K21" s="62"/>
      <c r="L21" s="62"/>
      <c r="M21" s="62"/>
      <c r="N21" s="79"/>
      <c r="O21" s="62"/>
      <c r="P21" s="209"/>
      <c r="Q21" s="210"/>
      <c r="R21" s="62"/>
      <c r="S21" s="79"/>
    </row>
    <row r="22" spans="4:25" ht="13.5">
      <c r="D22" s="49" t="s">
        <v>287</v>
      </c>
      <c r="E22" s="22"/>
      <c r="F22" s="94"/>
      <c r="G22" s="96"/>
      <c r="H22" s="76"/>
      <c r="I22" s="76"/>
      <c r="J22" s="97"/>
      <c r="K22" s="61"/>
      <c r="L22" s="61"/>
      <c r="M22" s="101"/>
      <c r="N22" s="205"/>
      <c r="O22" s="62"/>
      <c r="P22" s="211">
        <v>3747760.24</v>
      </c>
      <c r="Q22" s="204"/>
      <c r="R22" s="204"/>
      <c r="S22" s="205"/>
      <c r="T22" s="85">
        <f>P22*Y22</f>
        <v>14991040.96</v>
      </c>
      <c r="V22" s="58">
        <v>0.8</v>
      </c>
      <c r="W22" s="63">
        <f>T22*V22</f>
        <v>11992832.768000001</v>
      </c>
      <c r="X22" s="71">
        <f>W22/$W$32</f>
        <v>0.1250610630051921</v>
      </c>
      <c r="Y22" s="93">
        <v>4</v>
      </c>
    </row>
    <row r="23" spans="4:26" ht="13.5">
      <c r="D23" s="49" t="s">
        <v>288</v>
      </c>
      <c r="E23" s="22"/>
      <c r="F23" s="22"/>
      <c r="G23" s="25"/>
      <c r="H23" s="25"/>
      <c r="I23" s="25"/>
      <c r="J23" s="25"/>
      <c r="K23" s="61"/>
      <c r="L23" s="530">
        <f>D64</f>
        <v>95404.7</v>
      </c>
      <c r="M23" s="101"/>
      <c r="N23" s="206"/>
      <c r="O23" s="62"/>
      <c r="P23" s="204">
        <f>D63+D64</f>
        <v>234317.68</v>
      </c>
      <c r="Q23" s="204">
        <v>86108</v>
      </c>
      <c r="R23" s="62"/>
      <c r="S23" s="206"/>
      <c r="T23" s="85">
        <f>L23*Y23</f>
        <v>381618.8</v>
      </c>
      <c r="V23" s="58">
        <v>0.8</v>
      </c>
      <c r="W23" s="63">
        <f>T23*V23</f>
        <v>305295.04</v>
      </c>
      <c r="X23" s="71">
        <f>W23/$W$32</f>
        <v>0.003183611659664613</v>
      </c>
      <c r="Y23" s="93">
        <v>4</v>
      </c>
      <c r="Z23" s="93"/>
    </row>
    <row r="24" spans="4:25" ht="13.5">
      <c r="D24" s="49" t="s">
        <v>185</v>
      </c>
      <c r="E24" s="22"/>
      <c r="F24" s="22"/>
      <c r="G24" s="22"/>
      <c r="H24" s="22"/>
      <c r="I24" s="22"/>
      <c r="J24" s="22"/>
      <c r="K24" s="61"/>
      <c r="L24" s="204">
        <v>64843.25</v>
      </c>
      <c r="M24" s="101"/>
      <c r="N24" s="206"/>
      <c r="O24" s="62"/>
      <c r="P24" s="62"/>
      <c r="Q24" s="62"/>
      <c r="R24" s="62"/>
      <c r="S24" s="206"/>
      <c r="T24" s="85">
        <f>L24*Y24</f>
        <v>259373</v>
      </c>
      <c r="V24" s="58">
        <v>0.8</v>
      </c>
      <c r="W24" s="63">
        <f>T24*V24</f>
        <v>207498.40000000002</v>
      </c>
      <c r="X24" s="71">
        <f>W24/$W$32</f>
        <v>0.0021637899050104183</v>
      </c>
      <c r="Y24" s="93">
        <v>4</v>
      </c>
    </row>
    <row r="25" spans="4:23" ht="13.5">
      <c r="D25" s="52"/>
      <c r="E25" s="53"/>
      <c r="F25" s="53"/>
      <c r="G25" s="53"/>
      <c r="H25" s="53"/>
      <c r="I25" s="53"/>
      <c r="J25" s="53"/>
      <c r="K25" s="212"/>
      <c r="L25" s="212"/>
      <c r="M25" s="212"/>
      <c r="N25" s="213"/>
      <c r="O25" s="62"/>
      <c r="P25" s="214"/>
      <c r="Q25" s="62"/>
      <c r="R25" s="62"/>
      <c r="S25" s="213"/>
      <c r="T25" s="86"/>
      <c r="V25" s="53"/>
      <c r="W25" s="53"/>
    </row>
    <row r="26" spans="7:19" ht="12.75">
      <c r="G26" s="53"/>
      <c r="H26" s="53"/>
      <c r="I26" s="53"/>
      <c r="J26" s="53"/>
      <c r="K26" s="62"/>
      <c r="L26" s="62"/>
      <c r="M26" s="62"/>
      <c r="N26" s="79"/>
      <c r="O26" s="62"/>
      <c r="P26" s="62"/>
      <c r="Q26" s="62"/>
      <c r="R26" s="62"/>
      <c r="S26" s="79"/>
    </row>
    <row r="27" spans="2:24" ht="12.75">
      <c r="B27" s="525" t="s">
        <v>160</v>
      </c>
      <c r="C27" s="524"/>
      <c r="D27" s="524"/>
      <c r="E27" s="524"/>
      <c r="F27" s="524"/>
      <c r="G27" s="524"/>
      <c r="H27" s="524"/>
      <c r="I27" s="524"/>
      <c r="J27" s="524"/>
      <c r="K27" s="524"/>
      <c r="L27" s="524"/>
      <c r="M27" s="524"/>
      <c r="N27" s="525"/>
      <c r="O27" s="524"/>
      <c r="P27" s="524"/>
      <c r="Q27" s="524"/>
      <c r="R27" s="524"/>
      <c r="S27" s="525"/>
      <c r="T27" s="527"/>
      <c r="U27" s="524"/>
      <c r="V27" s="527"/>
      <c r="W27" s="527"/>
      <c r="X27" s="528">
        <f>SUM(X29:X30)</f>
        <v>0.4438149805359627</v>
      </c>
    </row>
    <row r="28" spans="3:19" ht="12.75">
      <c r="C28" t="s">
        <v>161</v>
      </c>
      <c r="K28" s="62"/>
      <c r="L28" s="62"/>
      <c r="M28" s="62"/>
      <c r="N28" s="79"/>
      <c r="O28" s="62"/>
      <c r="P28" s="62"/>
      <c r="Q28" s="62"/>
      <c r="R28" s="62"/>
      <c r="S28" s="79"/>
    </row>
    <row r="29" spans="4:25" ht="13.5">
      <c r="D29" s="49" t="s">
        <v>163</v>
      </c>
      <c r="E29" s="22"/>
      <c r="F29" s="22"/>
      <c r="G29" s="49" t="s">
        <v>403</v>
      </c>
      <c r="H29" s="22"/>
      <c r="I29" s="22"/>
      <c r="J29" s="22"/>
      <c r="K29" s="530">
        <v>4300000</v>
      </c>
      <c r="L29" s="61"/>
      <c r="M29" s="101"/>
      <c r="N29" s="206"/>
      <c r="O29" s="62"/>
      <c r="P29" s="204">
        <f>AND!T6</f>
        <v>5806789.7936679255</v>
      </c>
      <c r="Q29" s="215"/>
      <c r="R29" s="62"/>
      <c r="S29" s="206"/>
      <c r="T29" s="85">
        <f>K29*Y29</f>
        <v>30100000</v>
      </c>
      <c r="V29" s="58">
        <v>0.8</v>
      </c>
      <c r="W29" s="63">
        <f>T29*V29</f>
        <v>24080000</v>
      </c>
      <c r="X29" s="71">
        <f>W29/$W$32</f>
        <v>0.2511058442506105</v>
      </c>
      <c r="Y29" s="93">
        <v>7</v>
      </c>
    </row>
    <row r="30" spans="4:25" ht="14.25" thickBot="1">
      <c r="D30" s="49"/>
      <c r="E30" s="22"/>
      <c r="F30" s="22"/>
      <c r="G30" s="22" t="s">
        <v>404</v>
      </c>
      <c r="H30" s="22"/>
      <c r="I30" s="22"/>
      <c r="J30" s="22"/>
      <c r="K30" s="61"/>
      <c r="L30" s="61"/>
      <c r="M30" s="101"/>
      <c r="N30" s="207"/>
      <c r="O30" s="62"/>
      <c r="P30" s="204"/>
      <c r="Q30" s="62"/>
      <c r="R30" s="204">
        <f>2310000</f>
        <v>2310000</v>
      </c>
      <c r="S30" s="526"/>
      <c r="T30" s="85">
        <f>R30*Y30</f>
        <v>23100000</v>
      </c>
      <c r="V30" s="58">
        <v>0.8</v>
      </c>
      <c r="W30" s="63">
        <f>T30*V30</f>
        <v>18480000</v>
      </c>
      <c r="X30" s="71">
        <f>W30/$W$32</f>
        <v>0.19270913628535222</v>
      </c>
      <c r="Y30" s="93">
        <v>10</v>
      </c>
    </row>
    <row r="31" ht="13.5" thickBot="1">
      <c r="D31" s="109"/>
    </row>
    <row r="32" spans="20:24" ht="17.25" thickBot="1">
      <c r="T32" s="193">
        <f>SUM(T8:T30)</f>
        <v>127021716.71999998</v>
      </c>
      <c r="V32" s="66" t="s">
        <v>124</v>
      </c>
      <c r="W32" s="158">
        <f>SUM(W8:W30)</f>
        <v>95895816.65</v>
      </c>
      <c r="X32" s="82">
        <f>W32/$W$32</f>
        <v>1</v>
      </c>
    </row>
    <row r="33" spans="3:23" ht="8.25" customHeight="1">
      <c r="C33" s="62"/>
      <c r="D33" s="62"/>
      <c r="E33" s="62"/>
      <c r="F33" s="62"/>
      <c r="G33" s="62"/>
      <c r="H33" s="62"/>
      <c r="I33" s="62"/>
      <c r="J33" s="62"/>
      <c r="K33" s="62"/>
      <c r="L33" s="62"/>
      <c r="M33" s="62"/>
      <c r="N33" s="79"/>
      <c r="O33" s="62"/>
      <c r="P33" s="62"/>
      <c r="Q33" s="62"/>
      <c r="R33" s="62"/>
      <c r="S33" s="79"/>
      <c r="T33" s="87"/>
      <c r="U33" s="62"/>
      <c r="V33" s="62"/>
      <c r="W33" s="62"/>
    </row>
    <row r="35" ht="12.75">
      <c r="D35" s="80"/>
    </row>
    <row r="38" spans="3:23" ht="6" customHeight="1">
      <c r="C38" s="62"/>
      <c r="D38" s="62"/>
      <c r="E38" s="62"/>
      <c r="F38" s="62"/>
      <c r="G38" s="62"/>
      <c r="H38" s="62"/>
      <c r="I38" s="62"/>
      <c r="J38" s="62"/>
      <c r="K38" s="62"/>
      <c r="L38" s="62"/>
      <c r="M38" s="62"/>
      <c r="N38" s="79"/>
      <c r="O38" s="62"/>
      <c r="P38" s="62"/>
      <c r="Q38" s="62"/>
      <c r="R38" s="62"/>
      <c r="S38" s="79"/>
      <c r="T38" s="87"/>
      <c r="U38" s="62"/>
      <c r="V38" s="62"/>
      <c r="W38" s="62"/>
    </row>
    <row r="39" ht="13.5">
      <c r="P39" s="187">
        <f>SUM(P7:P37)</f>
        <v>28627488.873667926</v>
      </c>
    </row>
    <row r="40" spans="4:5" ht="12.75">
      <c r="D40" s="22" t="s">
        <v>205</v>
      </c>
      <c r="E40" s="67">
        <f>E41*4</f>
        <v>687999.2</v>
      </c>
    </row>
    <row r="41" spans="4:5" ht="12.75">
      <c r="D41" t="s">
        <v>171</v>
      </c>
      <c r="E41" s="68">
        <v>171999.8</v>
      </c>
    </row>
    <row r="43" spans="3:5" ht="12.75">
      <c r="C43" s="22"/>
      <c r="D43" s="49" t="s">
        <v>125</v>
      </c>
      <c r="E43" s="49" t="s">
        <v>177</v>
      </c>
    </row>
    <row r="44" spans="3:5" ht="13.5">
      <c r="C44" s="22"/>
      <c r="D44" s="57" t="s">
        <v>176</v>
      </c>
      <c r="E44" s="57" t="s">
        <v>175</v>
      </c>
    </row>
    <row r="45" spans="3:5" ht="12.75">
      <c r="C45" s="22"/>
      <c r="D45" s="22"/>
      <c r="E45" s="22"/>
    </row>
    <row r="46" spans="3:5" ht="13.5">
      <c r="C46" s="57">
        <v>2005</v>
      </c>
      <c r="D46" s="64">
        <v>6734159.7</v>
      </c>
      <c r="E46" s="57">
        <v>368</v>
      </c>
    </row>
    <row r="47" spans="3:5" ht="12.75">
      <c r="C47" s="22"/>
      <c r="D47" s="22"/>
      <c r="E47" s="22"/>
    </row>
    <row r="48" spans="3:5" ht="13.5">
      <c r="C48" s="57">
        <v>2007</v>
      </c>
      <c r="D48" s="64">
        <f>8793011.4+1373858.6</f>
        <v>10166870</v>
      </c>
      <c r="E48" s="57">
        <f>414+74</f>
        <v>488</v>
      </c>
    </row>
    <row r="49" spans="3:5" ht="12.75">
      <c r="C49" s="22"/>
      <c r="D49" s="22"/>
      <c r="E49" s="22"/>
    </row>
    <row r="52" spans="3:5" ht="12.75">
      <c r="C52" s="22"/>
      <c r="D52" s="49" t="s">
        <v>178</v>
      </c>
      <c r="E52" s="49"/>
    </row>
    <row r="53" spans="3:6" ht="13.5">
      <c r="C53" s="22"/>
      <c r="D53" s="57" t="s">
        <v>179</v>
      </c>
      <c r="E53" s="72" t="s">
        <v>180</v>
      </c>
      <c r="F53" s="73" t="s">
        <v>202</v>
      </c>
    </row>
    <row r="54" spans="3:5" ht="12.75">
      <c r="C54" s="22"/>
      <c r="D54" s="22"/>
      <c r="E54" s="22"/>
    </row>
    <row r="55" spans="3:5" ht="13.5">
      <c r="C55" s="57">
        <v>2005</v>
      </c>
      <c r="D55" s="70">
        <v>959197.73</v>
      </c>
      <c r="E55" s="70">
        <v>824954.64</v>
      </c>
    </row>
    <row r="56" spans="3:5" ht="12.75">
      <c r="C56" s="22"/>
      <c r="D56" s="35"/>
      <c r="E56" s="35"/>
    </row>
    <row r="57" spans="3:6" ht="13.5">
      <c r="C57" s="57">
        <v>2007</v>
      </c>
      <c r="D57" s="117">
        <v>2433704.27</v>
      </c>
      <c r="E57" s="95"/>
      <c r="F57" s="118" t="e">
        <f>#REF!</f>
        <v>#REF!</v>
      </c>
    </row>
    <row r="58" spans="3:5" ht="12.75">
      <c r="C58" s="22"/>
      <c r="D58" s="25"/>
      <c r="E58" s="25"/>
    </row>
    <row r="60" ht="12.75">
      <c r="D60" t="s">
        <v>158</v>
      </c>
    </row>
    <row r="61" spans="3:12" ht="12.75">
      <c r="C61" t="s">
        <v>181</v>
      </c>
      <c r="G61" s="62" t="s">
        <v>157</v>
      </c>
      <c r="H61" s="62"/>
      <c r="I61" s="62"/>
      <c r="J61" s="62"/>
      <c r="K61" s="62"/>
      <c r="L61" s="62"/>
    </row>
    <row r="62" spans="4:11" ht="12.75">
      <c r="D62" t="s">
        <v>182</v>
      </c>
      <c r="H62" s="65" t="s">
        <v>184</v>
      </c>
      <c r="I62" s="578" t="s">
        <v>183</v>
      </c>
      <c r="J62" s="578"/>
      <c r="K62" s="578"/>
    </row>
    <row r="63" spans="3:12" ht="13.5">
      <c r="C63">
        <v>5</v>
      </c>
      <c r="D63" s="115">
        <v>138912.98</v>
      </c>
      <c r="E63" s="75">
        <f>D63/C63</f>
        <v>27782.596</v>
      </c>
      <c r="F63" s="80" t="s">
        <v>256</v>
      </c>
      <c r="G63" s="57">
        <v>2005</v>
      </c>
      <c r="H63">
        <v>64</v>
      </c>
      <c r="I63">
        <v>87</v>
      </c>
      <c r="J63">
        <v>5</v>
      </c>
      <c r="K63">
        <v>5</v>
      </c>
      <c r="L63" s="22">
        <f>H63+I63+J63+K63</f>
        <v>161</v>
      </c>
    </row>
    <row r="64" spans="3:6" ht="12.75">
      <c r="C64">
        <v>5</v>
      </c>
      <c r="D64" s="115">
        <v>95404.7</v>
      </c>
      <c r="E64" s="75">
        <f>D64/C64</f>
        <v>19080.94</v>
      </c>
      <c r="F64" s="80" t="s">
        <v>257</v>
      </c>
    </row>
    <row r="65" spans="7:12" ht="13.5">
      <c r="G65" s="57">
        <v>2007</v>
      </c>
      <c r="H65">
        <v>64</v>
      </c>
      <c r="I65">
        <v>87</v>
      </c>
      <c r="J65">
        <v>5</v>
      </c>
      <c r="K65">
        <v>5</v>
      </c>
      <c r="L65" s="22">
        <f>H65+I65+J65+K65</f>
        <v>161</v>
      </c>
    </row>
    <row r="68" spans="3:5" ht="12.75">
      <c r="C68" s="22"/>
      <c r="D68" s="49" t="s">
        <v>200</v>
      </c>
      <c r="E68" s="49"/>
    </row>
    <row r="69" spans="3:12" ht="13.5">
      <c r="C69" s="61"/>
      <c r="D69" s="110" t="s">
        <v>196</v>
      </c>
      <c r="E69" s="110" t="s">
        <v>197</v>
      </c>
      <c r="F69" s="111" t="s">
        <v>175</v>
      </c>
      <c r="G69" s="112" t="s">
        <v>195</v>
      </c>
      <c r="H69" s="62"/>
      <c r="I69" s="62"/>
      <c r="J69" s="62"/>
      <c r="K69" s="110" t="s">
        <v>199</v>
      </c>
      <c r="L69" s="62"/>
    </row>
    <row r="70" spans="3:6" ht="12.75">
      <c r="C70" s="22"/>
      <c r="D70" s="22"/>
      <c r="E70" s="22"/>
      <c r="F70" s="65"/>
    </row>
    <row r="71" spans="3:6" ht="13.5">
      <c r="C71" s="57">
        <v>2005</v>
      </c>
      <c r="D71" s="70"/>
      <c r="E71" s="70"/>
      <c r="F71" s="65"/>
    </row>
    <row r="72" spans="3:6" ht="12.75">
      <c r="C72" s="22"/>
      <c r="D72" s="22"/>
      <c r="E72" s="22"/>
      <c r="F72" s="65"/>
    </row>
    <row r="73" spans="3:12" ht="13.5">
      <c r="C73" s="57">
        <v>2007</v>
      </c>
      <c r="D73" s="70">
        <v>9673711.59</v>
      </c>
      <c r="E73" s="70">
        <v>235181.72</v>
      </c>
      <c r="F73" s="108">
        <v>5176</v>
      </c>
      <c r="G73" s="22">
        <v>402</v>
      </c>
      <c r="K73" s="70">
        <v>682582.8</v>
      </c>
      <c r="L73" s="113">
        <f>K73/D73</f>
        <v>0.07056059028114979</v>
      </c>
    </row>
    <row r="74" spans="3:5" ht="12.75">
      <c r="C74" s="22"/>
      <c r="D74" s="22"/>
      <c r="E74" s="22"/>
    </row>
    <row r="75" spans="3:5" ht="12.75">
      <c r="C75" s="22"/>
      <c r="D75" s="22"/>
      <c r="E75" s="22"/>
    </row>
  </sheetData>
  <mergeCells count="1">
    <mergeCell ref="I62:K62"/>
  </mergeCells>
  <printOptions/>
  <pageMargins left="0.49" right="0.23" top="0.23" bottom="0.29" header="0.14" footer="0"/>
  <pageSetup fitToHeight="2" fitToWidth="1" horizontalDpi="300" verticalDpi="300" orientation="landscape" paperSize="9" scale="70" r:id="rId1"/>
  <headerFooter alignWithMargins="0">
    <oddFooter>&amp;R&amp;8&amp;F &amp;D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40"/>
  <sheetViews>
    <sheetView zoomScale="86" zoomScaleNormal="86" workbookViewId="0" topLeftCell="A1">
      <selection activeCell="N40" sqref="N40"/>
    </sheetView>
  </sheetViews>
  <sheetFormatPr defaultColWidth="11.421875" defaultRowHeight="12.75"/>
  <cols>
    <col min="1" max="1" width="3.140625" style="0" customWidth="1"/>
    <col min="3" max="3" width="10.57421875" style="0" customWidth="1"/>
    <col min="4" max="4" width="7.00390625" style="0" customWidth="1"/>
    <col min="5" max="5" width="2.8515625" style="0" customWidth="1"/>
    <col min="6" max="6" width="7.28125" style="0" customWidth="1"/>
    <col min="7" max="7" width="18.421875" style="0" customWidth="1"/>
    <col min="8" max="8" width="15.140625" style="0" customWidth="1"/>
    <col min="9" max="9" width="7.421875" style="0" customWidth="1"/>
    <col min="10" max="10" width="2.57421875" style="0" customWidth="1"/>
    <col min="11" max="11" width="7.00390625" style="0" customWidth="1"/>
    <col min="12" max="12" width="9.8515625" style="0" customWidth="1"/>
    <col min="13" max="13" width="9.7109375" style="0" customWidth="1"/>
    <col min="14" max="14" width="14.28125" style="0" customWidth="1"/>
    <col min="15" max="15" width="0.85546875" style="0" customWidth="1"/>
    <col min="16" max="16" width="9.421875" style="0" customWidth="1"/>
    <col min="17" max="17" width="7.140625" style="0" customWidth="1"/>
    <col min="18" max="18" width="8.28125" style="0" customWidth="1"/>
    <col min="19" max="19" width="13.28125" style="0" customWidth="1"/>
    <col min="20" max="20" width="11.57421875" style="0" customWidth="1"/>
    <col min="21" max="21" width="1.1484375" style="0" customWidth="1"/>
    <col min="22" max="22" width="14.28125" style="0" customWidth="1"/>
  </cols>
  <sheetData>
    <row r="1" spans="2:3" ht="13.5" thickBot="1">
      <c r="B1" s="157" t="s">
        <v>227</v>
      </c>
      <c r="C1" t="s">
        <v>228</v>
      </c>
    </row>
    <row r="2" spans="12:20" ht="13.5" thickBot="1">
      <c r="L2" s="161" t="s">
        <v>225</v>
      </c>
      <c r="M2" s="162"/>
      <c r="N2" s="162"/>
      <c r="O2" s="162"/>
      <c r="P2" s="162"/>
      <c r="Q2" s="162"/>
      <c r="R2" s="162"/>
      <c r="S2" s="162"/>
      <c r="T2" s="163"/>
    </row>
    <row r="3" spans="11:22" ht="12.75">
      <c r="K3" s="164" t="s">
        <v>233</v>
      </c>
      <c r="L3" s="170">
        <f>L6/L14</f>
        <v>0.05415564527356258</v>
      </c>
      <c r="M3" s="170">
        <f>M6/M14</f>
        <v>0.0552418967522973</v>
      </c>
      <c r="N3" s="549">
        <f>N6/N14</f>
        <v>0.033612298973285305</v>
      </c>
      <c r="P3" t="s">
        <v>244</v>
      </c>
      <c r="R3" s="160" t="s">
        <v>232</v>
      </c>
      <c r="S3" s="171"/>
      <c r="T3" s="550">
        <f>T6/T14</f>
        <v>0.10991185465011692</v>
      </c>
      <c r="V3" t="s">
        <v>230</v>
      </c>
    </row>
    <row r="4" spans="12:22" ht="12.75">
      <c r="L4" s="49" t="s">
        <v>229</v>
      </c>
      <c r="M4" s="49" t="s">
        <v>175</v>
      </c>
      <c r="N4" s="49" t="s">
        <v>231</v>
      </c>
      <c r="R4" s="49" t="s">
        <v>238</v>
      </c>
      <c r="S4" s="49" t="s">
        <v>175</v>
      </c>
      <c r="T4" s="49" t="s">
        <v>243</v>
      </c>
      <c r="V4" s="47" t="s">
        <v>226</v>
      </c>
    </row>
    <row r="5" spans="2:22" ht="12.75">
      <c r="B5" s="15" t="s">
        <v>294</v>
      </c>
      <c r="C5" t="s">
        <v>214</v>
      </c>
      <c r="G5" s="15" t="s">
        <v>419</v>
      </c>
      <c r="K5" s="174" t="s">
        <v>247</v>
      </c>
      <c r="L5" s="49">
        <v>402</v>
      </c>
      <c r="M5" s="49">
        <v>5171</v>
      </c>
      <c r="N5" s="49"/>
      <c r="R5" s="52"/>
      <c r="S5" s="52"/>
      <c r="T5" s="52"/>
      <c r="V5" s="47"/>
    </row>
    <row r="6" spans="2:22" ht="12.75">
      <c r="B6" s="119" t="s">
        <v>206</v>
      </c>
      <c r="C6" s="555">
        <v>667635</v>
      </c>
      <c r="D6" s="143">
        <f>C6/$C$14</f>
        <v>0.08139686572659598</v>
      </c>
      <c r="F6" s="143">
        <f>G6/G14</f>
        <v>0.09175106970698153</v>
      </c>
      <c r="G6" s="121">
        <v>338800</v>
      </c>
      <c r="J6" s="336" t="s">
        <v>324</v>
      </c>
      <c r="K6" s="119" t="s">
        <v>206</v>
      </c>
      <c r="L6" s="22">
        <v>389</v>
      </c>
      <c r="M6" s="167">
        <f>5176</f>
        <v>5176</v>
      </c>
      <c r="N6" s="185">
        <f>SAE!P54+SAE!P67+SAE!P55</f>
        <v>10193046.5</v>
      </c>
      <c r="R6">
        <v>611</v>
      </c>
      <c r="S6" s="338">
        <f>R6*S14/R14</f>
        <v>12056.890807699227</v>
      </c>
      <c r="T6" s="186">
        <f>R6*R20</f>
        <v>5806789.7936679255</v>
      </c>
      <c r="V6" s="156">
        <f>N6+T6</f>
        <v>15999836.293667926</v>
      </c>
    </row>
    <row r="7" spans="2:23" ht="12.75">
      <c r="B7" s="22" t="s">
        <v>207</v>
      </c>
      <c r="C7" s="122">
        <v>1220467</v>
      </c>
      <c r="L7">
        <v>914</v>
      </c>
      <c r="V7" s="339">
        <f>V6*W7</f>
        <v>12799869.034934342</v>
      </c>
      <c r="W7" s="340">
        <v>0.8</v>
      </c>
    </row>
    <row r="8" spans="2:12" ht="12.75">
      <c r="B8" s="22" t="s">
        <v>208</v>
      </c>
      <c r="C8" s="122">
        <v>798822</v>
      </c>
      <c r="L8">
        <v>901</v>
      </c>
    </row>
    <row r="9" spans="2:12" ht="12.75">
      <c r="B9" s="22" t="s">
        <v>209</v>
      </c>
      <c r="C9" s="122">
        <v>901220</v>
      </c>
      <c r="L9">
        <v>988</v>
      </c>
    </row>
    <row r="10" spans="2:12" ht="12.75">
      <c r="B10" s="22" t="s">
        <v>210</v>
      </c>
      <c r="C10" s="122">
        <v>507915</v>
      </c>
      <c r="L10">
        <v>719</v>
      </c>
    </row>
    <row r="11" spans="2:12" ht="12.75">
      <c r="B11" s="22" t="s">
        <v>211</v>
      </c>
      <c r="C11" s="122">
        <v>667438</v>
      </c>
      <c r="L11">
        <v>795</v>
      </c>
    </row>
    <row r="12" spans="2:12" ht="12.75">
      <c r="B12" s="22" t="s">
        <v>212</v>
      </c>
      <c r="C12" s="122">
        <v>1563261</v>
      </c>
      <c r="L12">
        <v>1070</v>
      </c>
    </row>
    <row r="13" spans="2:20" ht="13.5" thickBot="1">
      <c r="B13" s="22" t="s">
        <v>213</v>
      </c>
      <c r="C13" s="123">
        <v>1875462</v>
      </c>
      <c r="L13" s="154">
        <v>1407</v>
      </c>
      <c r="M13" s="154"/>
      <c r="N13" s="154"/>
      <c r="O13" s="53"/>
      <c r="P13" s="53"/>
      <c r="Q13" s="53"/>
      <c r="R13" s="154"/>
      <c r="S13" s="154"/>
      <c r="T13" s="154"/>
    </row>
    <row r="14" spans="2:20" ht="12.75">
      <c r="B14" s="120" t="s">
        <v>215</v>
      </c>
      <c r="C14" s="120">
        <f>SUM(C6:C13)</f>
        <v>8202220</v>
      </c>
      <c r="D14" s="124">
        <f>C14/$C$14</f>
        <v>1</v>
      </c>
      <c r="G14" s="120">
        <v>3692600</v>
      </c>
      <c r="K14" t="s">
        <v>218</v>
      </c>
      <c r="L14" s="128">
        <f>SUM(L6:L13)</f>
        <v>7183</v>
      </c>
      <c r="M14" s="128">
        <v>93697</v>
      </c>
      <c r="N14" s="128">
        <f>G36</f>
        <v>303253476</v>
      </c>
      <c r="O14" s="53"/>
      <c r="Q14" t="s">
        <v>218</v>
      </c>
      <c r="R14" s="128">
        <v>5559</v>
      </c>
      <c r="S14" s="128">
        <v>109696</v>
      </c>
      <c r="T14" s="129">
        <v>52831333</v>
      </c>
    </row>
    <row r="15" spans="2:20" ht="13.5">
      <c r="B15" s="263" t="s">
        <v>216</v>
      </c>
      <c r="C15" s="263">
        <v>46157822</v>
      </c>
      <c r="G15" s="263">
        <v>22302000</v>
      </c>
      <c r="K15" s="155" t="s">
        <v>236</v>
      </c>
      <c r="L15" s="129">
        <f>N14/L14</f>
        <v>42218.22024223862</v>
      </c>
      <c r="M15" s="166">
        <f>N14/M14</f>
        <v>3236.5334642517905</v>
      </c>
      <c r="N15" s="169">
        <f>M6*M15</f>
        <v>16752297.210967267</v>
      </c>
      <c r="P15" s="153" t="s">
        <v>239</v>
      </c>
      <c r="Q15" s="165">
        <v>3632</v>
      </c>
      <c r="R15" s="149">
        <f>Q15/$R$14</f>
        <v>0.6533549199496312</v>
      </c>
      <c r="S15" s="337">
        <v>38444564.75</v>
      </c>
      <c r="T15" s="149">
        <f>S15/$T$14</f>
        <v>0.7276849279952864</v>
      </c>
    </row>
    <row r="16" spans="11:20" ht="13.5">
      <c r="K16" s="155" t="s">
        <v>235</v>
      </c>
      <c r="L16" s="181">
        <f>N6/L6</f>
        <v>26203.20437017995</v>
      </c>
      <c r="M16" s="181">
        <f>N6/M6</f>
        <v>1969.2902820710974</v>
      </c>
      <c r="N16" s="129"/>
      <c r="P16" s="153" t="s">
        <v>240</v>
      </c>
      <c r="Q16" s="165">
        <v>1571</v>
      </c>
      <c r="R16" s="149">
        <f>Q16/$R$14</f>
        <v>0.28260478503327935</v>
      </c>
      <c r="S16" s="337">
        <v>11736882</v>
      </c>
      <c r="T16" s="149">
        <f>S16/$T$14</f>
        <v>0.22215759727281537</v>
      </c>
    </row>
    <row r="17" spans="11:20" ht="13.5">
      <c r="K17" s="177" t="s">
        <v>251</v>
      </c>
      <c r="L17" s="22">
        <v>502</v>
      </c>
      <c r="M17" s="167">
        <v>7505</v>
      </c>
      <c r="N17" s="168">
        <f>9590124+147205</f>
        <v>9737329</v>
      </c>
      <c r="P17" s="153" t="s">
        <v>241</v>
      </c>
      <c r="Q17" s="165">
        <v>154</v>
      </c>
      <c r="R17" s="149">
        <f>Q17/$R$14</f>
        <v>0.02770282424896564</v>
      </c>
      <c r="S17" s="337">
        <v>1324886.25</v>
      </c>
      <c r="T17" s="149">
        <f>S17/$T$14</f>
        <v>0.025077660826767326</v>
      </c>
    </row>
    <row r="18" spans="2:20" ht="13.5">
      <c r="B18" s="135"/>
      <c r="C18" s="135"/>
      <c r="D18" s="136">
        <v>2007</v>
      </c>
      <c r="E18" s="135"/>
      <c r="F18" s="135"/>
      <c r="G18" s="137" t="s">
        <v>218</v>
      </c>
      <c r="H18" s="130" t="s">
        <v>219</v>
      </c>
      <c r="I18" s="130" t="s">
        <v>289</v>
      </c>
      <c r="J18" s="127"/>
      <c r="K18" s="178" t="s">
        <v>235</v>
      </c>
      <c r="L18" s="179">
        <f>N17/L17</f>
        <v>19397.06972111554</v>
      </c>
      <c r="M18" s="180">
        <f>N17/M17</f>
        <v>1297.445569620253</v>
      </c>
      <c r="N18" s="53"/>
      <c r="P18" s="153" t="s">
        <v>242</v>
      </c>
      <c r="Q18" s="165">
        <v>202</v>
      </c>
      <c r="R18" s="149">
        <f>Q18/$R$14</f>
        <v>0.03633747076812376</v>
      </c>
      <c r="S18" s="337">
        <v>1325000</v>
      </c>
      <c r="T18" s="149">
        <f>S18/$T$14</f>
        <v>0.025079813905130883</v>
      </c>
    </row>
    <row r="19" spans="2:11" ht="13.5">
      <c r="B19" s="131" t="s">
        <v>217</v>
      </c>
      <c r="C19" s="76"/>
      <c r="D19" s="76"/>
      <c r="E19" s="76"/>
      <c r="F19" s="197">
        <f>G19/$G$31</f>
        <v>0.18239358966856767</v>
      </c>
      <c r="G19" s="132">
        <v>147364944</v>
      </c>
      <c r="H19" s="133">
        <f>SAE!P22+SAE!L23/2</f>
        <v>10510869.6</v>
      </c>
      <c r="I19" s="134">
        <f>H19/G19</f>
        <v>0.07132544087283064</v>
      </c>
      <c r="K19" s="182">
        <f>H19/$H$30</f>
        <v>0.24336012913344066</v>
      </c>
    </row>
    <row r="20" spans="2:19" ht="13.5">
      <c r="B20" s="49" t="s">
        <v>153</v>
      </c>
      <c r="C20" s="94"/>
      <c r="D20" s="139"/>
      <c r="E20" s="139"/>
      <c r="F20" s="197">
        <f>G20/$G$31</f>
        <v>0.04879995474275726</v>
      </c>
      <c r="G20" s="140">
        <v>39427935</v>
      </c>
      <c r="H20" s="138">
        <f>SAE!P30+SAE!P31</f>
        <v>2805534.59</v>
      </c>
      <c r="I20" s="134">
        <f>H20/G20</f>
        <v>0.0711560113406903</v>
      </c>
      <c r="K20" s="183"/>
      <c r="Q20" s="155" t="s">
        <v>236</v>
      </c>
      <c r="R20" s="129">
        <f>T14/R14</f>
        <v>9503.747616477784</v>
      </c>
      <c r="S20" s="166">
        <f>T14/S14</f>
        <v>481.6158565490082</v>
      </c>
    </row>
    <row r="21" spans="2:11" ht="13.5">
      <c r="B21" s="49" t="s">
        <v>154</v>
      </c>
      <c r="C21" s="139"/>
      <c r="D21" s="139"/>
      <c r="E21" s="139"/>
      <c r="F21" s="198">
        <f>G21/$G$31</f>
        <v>0.016331457552378935</v>
      </c>
      <c r="G21" s="140">
        <v>13195005</v>
      </c>
      <c r="H21" s="138">
        <f>SAE!P32</f>
        <v>259720.15</v>
      </c>
      <c r="I21" s="141">
        <f>H21/G21</f>
        <v>0.019683217247738822</v>
      </c>
      <c r="J21" s="152" t="s">
        <v>422</v>
      </c>
      <c r="K21" s="183"/>
    </row>
    <row r="22" spans="2:11" ht="13.5">
      <c r="B22" s="49" t="s">
        <v>155</v>
      </c>
      <c r="C22" s="139"/>
      <c r="D22" s="139"/>
      <c r="E22" s="139"/>
      <c r="F22" s="197">
        <f>G22/$G$31</f>
        <v>0.007461924910605602</v>
      </c>
      <c r="G22" s="140">
        <v>6028864</v>
      </c>
      <c r="H22" s="138">
        <f>SAE!P33</f>
        <v>150000</v>
      </c>
      <c r="I22" s="142">
        <f>H22/G22</f>
        <v>0.02488030912623008</v>
      </c>
      <c r="J22" s="152" t="s">
        <v>422</v>
      </c>
      <c r="K22" s="183"/>
    </row>
    <row r="23" spans="2:11" ht="13.5">
      <c r="B23" s="144" t="s">
        <v>221</v>
      </c>
      <c r="C23" s="76"/>
      <c r="D23" s="76"/>
      <c r="E23" s="76"/>
      <c r="F23" s="197">
        <f aca="true" t="shared" si="0" ref="F23:F30">G23/$G$31</f>
        <v>0.03198725468038943</v>
      </c>
      <c r="G23" s="145">
        <v>25844110</v>
      </c>
      <c r="H23" s="133">
        <f>SAE!P12+SAE!P10</f>
        <v>2674531.44</v>
      </c>
      <c r="I23" s="142">
        <f aca="true" t="shared" si="1" ref="I23:I30">H23/G23</f>
        <v>0.10348707848712917</v>
      </c>
      <c r="K23" s="182">
        <f>H23/$H$30</f>
        <v>0.0619239265046012</v>
      </c>
    </row>
    <row r="24" spans="2:11" ht="13.5">
      <c r="B24" s="146" t="s">
        <v>222</v>
      </c>
      <c r="C24" s="139"/>
      <c r="D24" s="139"/>
      <c r="E24" s="139"/>
      <c r="F24" s="198">
        <f t="shared" si="0"/>
        <v>0.08577368608408491</v>
      </c>
      <c r="G24" s="140">
        <v>69300870</v>
      </c>
      <c r="H24" s="138">
        <f>SAE!P8</f>
        <v>3219515.8499999996</v>
      </c>
      <c r="I24" s="142">
        <f t="shared" si="1"/>
        <v>0.046457076945787254</v>
      </c>
      <c r="K24" s="183"/>
    </row>
    <row r="25" spans="2:20" ht="13.5">
      <c r="B25" s="49" t="s">
        <v>160</v>
      </c>
      <c r="F25" s="198">
        <f t="shared" si="0"/>
        <v>0.44072616442589146</v>
      </c>
      <c r="G25" s="140">
        <v>356084809</v>
      </c>
      <c r="H25" s="159">
        <f>V6</f>
        <v>15999836.293667926</v>
      </c>
      <c r="I25" s="142">
        <f t="shared" si="1"/>
        <v>0.04493265617985946</v>
      </c>
      <c r="J25" s="152" t="s">
        <v>422</v>
      </c>
      <c r="K25" s="182">
        <f>H25/$H$30</f>
        <v>0.3704472012992091</v>
      </c>
      <c r="L25" s="333" t="s">
        <v>245</v>
      </c>
      <c r="M25" s="172"/>
      <c r="N25" s="172"/>
      <c r="O25" s="172"/>
      <c r="P25" s="172"/>
      <c r="Q25" s="172"/>
      <c r="R25" s="172"/>
      <c r="S25" s="172"/>
      <c r="T25" s="173"/>
    </row>
    <row r="26" spans="2:20" ht="13.5">
      <c r="B26" s="49" t="s">
        <v>157</v>
      </c>
      <c r="C26" s="94"/>
      <c r="D26" s="139"/>
      <c r="E26" s="139"/>
      <c r="F26" s="198">
        <f t="shared" si="0"/>
        <v>0.05865471292633583</v>
      </c>
      <c r="G26" s="132">
        <v>47390089.21</v>
      </c>
      <c r="H26" s="138">
        <f>SAE!P38</f>
        <v>3747760.24</v>
      </c>
      <c r="I26" s="134">
        <f t="shared" si="1"/>
        <v>0.07908320711093256</v>
      </c>
      <c r="K26" s="182">
        <f>H26/$H$30</f>
        <v>0.08677259357946698</v>
      </c>
      <c r="L26" s="334" t="s">
        <v>246</v>
      </c>
      <c r="M26" s="76"/>
      <c r="N26" s="76"/>
      <c r="O26" s="76"/>
      <c r="P26" s="76"/>
      <c r="Q26" s="76"/>
      <c r="R26" s="76"/>
      <c r="S26" s="76"/>
      <c r="T26" s="97"/>
    </row>
    <row r="27" spans="2:11" ht="13.5">
      <c r="B27" s="146" t="s">
        <v>220</v>
      </c>
      <c r="C27" s="139"/>
      <c r="D27" s="139"/>
      <c r="E27" s="139"/>
      <c r="F27" s="198">
        <f t="shared" si="0"/>
        <v>0.007008271971086754</v>
      </c>
      <c r="G27" s="132">
        <v>5662335</v>
      </c>
      <c r="H27" s="138">
        <f>SAE!P41</f>
        <v>237649.73</v>
      </c>
      <c r="I27" s="134">
        <f t="shared" si="1"/>
        <v>0.04197027021537934</v>
      </c>
      <c r="J27" s="152" t="s">
        <v>422</v>
      </c>
      <c r="K27" s="183"/>
    </row>
    <row r="28" spans="2:11" ht="13.5">
      <c r="B28" s="146" t="s">
        <v>224</v>
      </c>
      <c r="C28" s="139"/>
      <c r="D28" s="139"/>
      <c r="E28" s="139"/>
      <c r="F28" s="199">
        <f t="shared" si="0"/>
        <v>0.08201193460383872</v>
      </c>
      <c r="G28" s="140">
        <v>66261562</v>
      </c>
      <c r="H28" s="138">
        <f>SAE!P15+SAE!P17+SAE!P19+SAE!P16</f>
        <v>3585180.49</v>
      </c>
      <c r="I28" s="134">
        <f t="shared" si="1"/>
        <v>0.054106489219194684</v>
      </c>
      <c r="K28" s="183"/>
    </row>
    <row r="29" spans="2:11" ht="13.5">
      <c r="B29" s="139" t="s">
        <v>423</v>
      </c>
      <c r="C29" s="139"/>
      <c r="D29" s="139"/>
      <c r="E29" s="139"/>
      <c r="F29" s="560">
        <f>G29/$G$31</f>
        <v>0.03885104869398039</v>
      </c>
      <c r="G29" s="559">
        <v>31389714</v>
      </c>
      <c r="H29" s="556"/>
      <c r="I29" s="557"/>
      <c r="K29" s="183"/>
    </row>
    <row r="30" spans="6:20" ht="13.5">
      <c r="F30" s="200">
        <f t="shared" si="0"/>
        <v>1.000000000259917</v>
      </c>
      <c r="G30" s="148">
        <f>SUM(G19:G29)</f>
        <v>807950237.21</v>
      </c>
      <c r="H30" s="148">
        <f>SUM(H19:H28)</f>
        <v>43190598.38366792</v>
      </c>
      <c r="I30" s="151">
        <f t="shared" si="1"/>
        <v>0.053457003160012624</v>
      </c>
      <c r="J30" s="152" t="s">
        <v>422</v>
      </c>
      <c r="L30" s="332" t="s">
        <v>250</v>
      </c>
      <c r="M30" s="139"/>
      <c r="N30" s="139"/>
      <c r="O30" s="139"/>
      <c r="P30" s="139"/>
      <c r="Q30" s="139"/>
      <c r="R30" s="139"/>
      <c r="S30" s="139"/>
      <c r="T30" s="95"/>
    </row>
    <row r="31" spans="2:7" ht="12.75">
      <c r="B31" s="150" t="s">
        <v>223</v>
      </c>
      <c r="C31" s="126"/>
      <c r="D31" s="126"/>
      <c r="E31" s="126"/>
      <c r="F31" s="126"/>
      <c r="G31" s="147">
        <v>807950237</v>
      </c>
    </row>
    <row r="35" spans="2:5" ht="12.75">
      <c r="B35" s="52" t="s">
        <v>160</v>
      </c>
      <c r="E35" t="s">
        <v>237</v>
      </c>
    </row>
    <row r="36" spans="6:8" ht="12.75">
      <c r="F36" s="22" t="s">
        <v>233</v>
      </c>
      <c r="G36" s="184">
        <f>G25-G37</f>
        <v>303253476</v>
      </c>
      <c r="H36" s="335">
        <f>G36/G25</f>
        <v>0.8516327243828029</v>
      </c>
    </row>
    <row r="37" spans="6:7" ht="12.75">
      <c r="F37" s="22" t="s">
        <v>234</v>
      </c>
      <c r="G37" s="184">
        <f>T14</f>
        <v>52831333</v>
      </c>
    </row>
    <row r="40" ht="12.75">
      <c r="G40" s="558">
        <f>G31-G30</f>
        <v>-0.21000003814697266</v>
      </c>
    </row>
  </sheetData>
  <printOptions/>
  <pageMargins left="0.49" right="0.24" top="0.48" bottom="0.33" header="0" footer="0"/>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B4:AA94"/>
  <sheetViews>
    <sheetView zoomScale="85" zoomScaleNormal="85" workbookViewId="0" topLeftCell="A1">
      <selection activeCell="P40" sqref="P40"/>
    </sheetView>
  </sheetViews>
  <sheetFormatPr defaultColWidth="11.421875" defaultRowHeight="12.75" outlineLevelCol="2"/>
  <cols>
    <col min="1" max="1" width="1.28515625" style="0" customWidth="1"/>
    <col min="2" max="2" width="4.28125" style="0" customWidth="1"/>
    <col min="3" max="3" width="2.57421875" style="0" customWidth="1"/>
    <col min="4" max="4" width="13.7109375" style="0" customWidth="1"/>
    <col min="5" max="5" width="11.7109375" style="0" bestFit="1" customWidth="1"/>
    <col min="6" max="6" width="23.8515625" style="0" customWidth="1"/>
    <col min="7" max="10" width="4.7109375" style="0" hidden="1" customWidth="1" outlineLevel="2"/>
    <col min="11" max="11" width="8.7109375" style="0" hidden="1" customWidth="1" outlineLevel="1"/>
    <col min="12" max="12" width="9.57421875" style="0" hidden="1" customWidth="1" outlineLevel="1"/>
    <col min="13" max="13" width="5.7109375" style="0" hidden="1" customWidth="1" outlineLevel="1"/>
    <col min="14" max="14" width="11.421875" style="77" hidden="1" customWidth="1" outlineLevel="1"/>
    <col min="15" max="15" width="0.9921875" style="0" customWidth="1" collapsed="1"/>
    <col min="16" max="16" width="13.7109375" style="0" customWidth="1"/>
    <col min="17" max="17" width="11.00390625" style="0" hidden="1" customWidth="1" outlineLevel="1"/>
    <col min="18" max="18" width="9.421875" style="0" hidden="1" customWidth="1" outlineLevel="1"/>
    <col min="19" max="19" width="0" style="77" hidden="1" customWidth="1" outlineLevel="1"/>
    <col min="20" max="20" width="11.8515625" style="84" hidden="1" customWidth="1" outlineLevel="1"/>
    <col min="21" max="21" width="1.1484375" style="0" customWidth="1" collapsed="1"/>
    <col min="22" max="22" width="10.00390625" style="0" customWidth="1"/>
    <col min="23" max="23" width="14.140625" style="0" customWidth="1"/>
    <col min="24" max="24" width="7.7109375" style="0" customWidth="1"/>
    <col min="25" max="25" width="8.57421875" style="0" customWidth="1"/>
    <col min="27" max="27" width="18.28125" style="0" bestFit="1" customWidth="1"/>
  </cols>
  <sheetData>
    <row r="4" spans="2:24" ht="13.5" thickBot="1">
      <c r="B4" s="542" t="s">
        <v>120</v>
      </c>
      <c r="C4" s="45" t="s">
        <v>261</v>
      </c>
      <c r="D4" s="44"/>
      <c r="E4" s="44"/>
      <c r="F4" s="44"/>
      <c r="G4" s="44"/>
      <c r="H4" s="44"/>
      <c r="I4" s="44"/>
      <c r="J4" s="44"/>
      <c r="K4" s="44"/>
      <c r="L4" s="44"/>
      <c r="M4" s="44"/>
      <c r="N4" s="107" t="s">
        <v>262</v>
      </c>
      <c r="O4" s="44"/>
      <c r="P4" s="546" t="s">
        <v>186</v>
      </c>
      <c r="Q4" s="44"/>
      <c r="R4" s="44"/>
      <c r="S4" s="107" t="s">
        <v>262</v>
      </c>
      <c r="T4" s="107" t="s">
        <v>194</v>
      </c>
      <c r="V4" s="62" t="s">
        <v>420</v>
      </c>
      <c r="W4" s="62"/>
      <c r="X4" s="62"/>
    </row>
    <row r="5" spans="7:24" ht="14.25" thickBot="1">
      <c r="G5" s="81">
        <v>2000</v>
      </c>
      <c r="H5" s="81">
        <v>2001</v>
      </c>
      <c r="I5" s="81">
        <v>2002</v>
      </c>
      <c r="J5" s="81">
        <v>2003</v>
      </c>
      <c r="K5" s="81">
        <v>2004</v>
      </c>
      <c r="L5" s="81">
        <v>2005</v>
      </c>
      <c r="M5" s="81">
        <v>2006</v>
      </c>
      <c r="N5" s="103" t="s">
        <v>105</v>
      </c>
      <c r="O5" s="47"/>
      <c r="P5" s="541">
        <v>2007</v>
      </c>
      <c r="Q5" s="81">
        <v>2008</v>
      </c>
      <c r="R5" s="81">
        <v>2009</v>
      </c>
      <c r="S5" s="103" t="s">
        <v>122</v>
      </c>
      <c r="T5" s="88" t="s">
        <v>187</v>
      </c>
      <c r="V5" s="551" t="s">
        <v>129</v>
      </c>
      <c r="W5" s="553" t="s">
        <v>130</v>
      </c>
      <c r="X5" s="552" t="s">
        <v>412</v>
      </c>
    </row>
    <row r="6" spans="2:26" ht="13.5">
      <c r="B6" s="50" t="s">
        <v>128</v>
      </c>
      <c r="C6" s="51"/>
      <c r="D6" s="51"/>
      <c r="E6" s="51"/>
      <c r="F6" s="51"/>
      <c r="G6" s="51"/>
      <c r="H6" s="51"/>
      <c r="I6" s="51"/>
      <c r="J6" s="51"/>
      <c r="K6" s="51"/>
      <c r="L6" s="51"/>
      <c r="M6" s="51"/>
      <c r="N6" s="50"/>
      <c r="O6" s="51"/>
      <c r="P6" s="51"/>
      <c r="Q6" s="51"/>
      <c r="R6" s="51"/>
      <c r="S6" s="50"/>
      <c r="T6" s="83"/>
      <c r="U6" s="83"/>
      <c r="V6" s="83"/>
      <c r="W6" s="83"/>
      <c r="X6" s="114">
        <f>SUM(X8:X19)</f>
        <v>0.44570923056282646</v>
      </c>
      <c r="Z6" s="331">
        <f>SUM(W8:W19)</f>
        <v>15109149.856</v>
      </c>
    </row>
    <row r="7" ht="13.5" thickBot="1">
      <c r="C7" t="s">
        <v>131</v>
      </c>
    </row>
    <row r="8" spans="4:25" ht="13.5">
      <c r="D8" s="49" t="s">
        <v>170</v>
      </c>
      <c r="E8" s="22"/>
      <c r="F8" s="22"/>
      <c r="G8" s="22"/>
      <c r="H8" s="22"/>
      <c r="I8" s="22"/>
      <c r="J8" s="22"/>
      <c r="K8" s="22"/>
      <c r="L8" s="69">
        <v>2972230.32</v>
      </c>
      <c r="M8" s="94"/>
      <c r="N8" s="98"/>
      <c r="P8" s="69">
        <f>2838603.05+271908.01+109004.79</f>
        <v>3219515.8499999996</v>
      </c>
      <c r="S8" s="98"/>
      <c r="T8" s="85">
        <f>L8*Y8</f>
        <v>0</v>
      </c>
      <c r="V8" s="537">
        <v>0.8</v>
      </c>
      <c r="W8" s="63">
        <f>P8*V8</f>
        <v>2575612.6799999997</v>
      </c>
      <c r="X8" s="124">
        <f>W8/$W$40</f>
        <v>0.07597875173465082</v>
      </c>
      <c r="Y8" s="93"/>
    </row>
    <row r="9" spans="4:25" ht="13.5">
      <c r="D9" s="49" t="s">
        <v>417</v>
      </c>
      <c r="E9" s="22"/>
      <c r="F9" s="22"/>
      <c r="G9" s="22"/>
      <c r="H9" s="22"/>
      <c r="I9" s="22"/>
      <c r="J9" s="22"/>
      <c r="K9" s="22"/>
      <c r="L9" s="69">
        <v>813383</v>
      </c>
      <c r="M9" s="94"/>
      <c r="N9" s="99"/>
      <c r="P9" s="69">
        <v>1531631.93</v>
      </c>
      <c r="S9" s="99"/>
      <c r="T9" s="85">
        <f>L9*Y9</f>
        <v>0</v>
      </c>
      <c r="V9" s="537">
        <v>0.8</v>
      </c>
      <c r="W9" s="63">
        <f>P9*V9</f>
        <v>1225305.544</v>
      </c>
      <c r="X9" s="124">
        <f>W9/$W$40</f>
        <v>0.0361456466065648</v>
      </c>
      <c r="Y9" s="93"/>
    </row>
    <row r="10" spans="22:24" ht="6.75" customHeight="1">
      <c r="V10" s="538"/>
      <c r="X10" s="126"/>
    </row>
    <row r="11" spans="3:24" ht="12.75">
      <c r="C11" t="s">
        <v>134</v>
      </c>
      <c r="V11" s="538"/>
      <c r="X11" s="126"/>
    </row>
    <row r="12" spans="4:24" ht="13.5">
      <c r="D12" s="49" t="s">
        <v>136</v>
      </c>
      <c r="E12" s="22"/>
      <c r="F12" s="22"/>
      <c r="G12" s="22"/>
      <c r="H12" s="22"/>
      <c r="I12" s="22"/>
      <c r="J12" s="22"/>
      <c r="K12" s="22"/>
      <c r="L12" s="22"/>
      <c r="M12" s="94"/>
      <c r="N12" s="99"/>
      <c r="P12" s="69">
        <v>623850</v>
      </c>
      <c r="S12" s="99"/>
      <c r="T12" s="85">
        <f>P12*3</f>
        <v>1871550</v>
      </c>
      <c r="V12" s="537">
        <v>0.8</v>
      </c>
      <c r="W12" s="63">
        <f>P12*V12</f>
        <v>499080</v>
      </c>
      <c r="X12" s="124">
        <f>W12/$W$40</f>
        <v>0.014722506885518804</v>
      </c>
    </row>
    <row r="13" spans="4:24" ht="13.5">
      <c r="D13" s="49" t="s">
        <v>137</v>
      </c>
      <c r="E13" s="22"/>
      <c r="F13" s="22"/>
      <c r="G13" s="22"/>
      <c r="H13" s="22"/>
      <c r="I13" s="22"/>
      <c r="J13" s="22"/>
      <c r="K13" s="22"/>
      <c r="L13" s="22"/>
      <c r="M13" s="94"/>
      <c r="N13" s="99"/>
      <c r="P13" s="69">
        <v>2772765.4</v>
      </c>
      <c r="S13" s="99"/>
      <c r="T13" s="85">
        <f>P13*3</f>
        <v>8318296.199999999</v>
      </c>
      <c r="V13" s="537">
        <v>0.8</v>
      </c>
      <c r="W13" s="63">
        <f>P13*V13</f>
        <v>2218212.32</v>
      </c>
      <c r="X13" s="124">
        <f>W13/$W$40</f>
        <v>0.06543569398642028</v>
      </c>
    </row>
    <row r="14" spans="4:24" ht="14.25" thickBot="1">
      <c r="D14" s="49" t="s">
        <v>414</v>
      </c>
      <c r="E14" s="22"/>
      <c r="F14" s="22"/>
      <c r="G14" s="22"/>
      <c r="H14" s="22"/>
      <c r="I14" s="22"/>
      <c r="J14" s="22"/>
      <c r="K14" s="22"/>
      <c r="L14" s="22"/>
      <c r="M14" s="94"/>
      <c r="N14" s="100"/>
      <c r="P14" s="69">
        <v>24776.74</v>
      </c>
      <c r="S14" s="100"/>
      <c r="T14" s="85">
        <f>P14*3</f>
        <v>74330.22</v>
      </c>
      <c r="V14" s="537">
        <v>0.8</v>
      </c>
      <c r="W14" s="63">
        <f>P14*V14</f>
        <v>19821.392000000003</v>
      </c>
      <c r="X14" s="124">
        <f>W14/$W$40</f>
        <v>0.0005847170397542827</v>
      </c>
    </row>
    <row r="15" spans="22:24" ht="6.75" customHeight="1">
      <c r="V15" s="538"/>
      <c r="X15" s="126"/>
    </row>
    <row r="16" spans="3:24" ht="13.5" thickBot="1">
      <c r="C16" t="s">
        <v>139</v>
      </c>
      <c r="V16" s="538"/>
      <c r="X16" s="126"/>
    </row>
    <row r="17" spans="4:25" ht="13.5">
      <c r="D17" s="545" t="s">
        <v>410</v>
      </c>
      <c r="E17" s="172"/>
      <c r="F17" s="173"/>
      <c r="G17" s="95"/>
      <c r="H17" s="22"/>
      <c r="I17" s="22"/>
      <c r="J17" s="22"/>
      <c r="K17" s="22"/>
      <c r="L17" s="69">
        <f>D65</f>
        <v>6734159.7</v>
      </c>
      <c r="M17" s="94"/>
      <c r="N17" s="98"/>
      <c r="P17" s="69">
        <f>D67</f>
        <v>10166870</v>
      </c>
      <c r="Q17" s="69">
        <v>13726377</v>
      </c>
      <c r="S17" s="98"/>
      <c r="T17" s="85">
        <f>L17*Y17</f>
        <v>0</v>
      </c>
      <c r="V17" s="537">
        <v>0.8</v>
      </c>
      <c r="W17" s="63">
        <f>P17*V17</f>
        <v>8133496</v>
      </c>
      <c r="X17" s="124">
        <f>W17/$W$40</f>
        <v>0.23993237730091296</v>
      </c>
      <c r="Y17" s="93"/>
    </row>
    <row r="18" spans="4:25" ht="13.5">
      <c r="D18" s="535" t="s">
        <v>408</v>
      </c>
      <c r="E18" s="536" t="s">
        <v>409</v>
      </c>
      <c r="F18" s="95"/>
      <c r="G18" s="533" t="s">
        <v>172</v>
      </c>
      <c r="H18" s="61" t="s">
        <v>173</v>
      </c>
      <c r="I18" s="22"/>
      <c r="J18" s="61" t="s">
        <v>204</v>
      </c>
      <c r="L18" s="69">
        <f>E59</f>
        <v>687999.2</v>
      </c>
      <c r="M18" s="101" t="s">
        <v>174</v>
      </c>
      <c r="N18" s="99"/>
      <c r="P18" s="69">
        <f>E59/2</f>
        <v>343999.6</v>
      </c>
      <c r="R18" s="62" t="s">
        <v>203</v>
      </c>
      <c r="S18" s="99"/>
      <c r="T18" s="85">
        <f>L18*Y18</f>
        <v>0</v>
      </c>
      <c r="V18" s="537">
        <v>0.8</v>
      </c>
      <c r="W18" s="63">
        <f>P18*V18</f>
        <v>275199.68</v>
      </c>
      <c r="X18" s="124">
        <f>W18/$W$40</f>
        <v>0.008118195847744994</v>
      </c>
      <c r="Y18" s="93"/>
    </row>
    <row r="19" spans="4:24" ht="13.5">
      <c r="D19" s="534" t="s">
        <v>407</v>
      </c>
      <c r="E19" s="25"/>
      <c r="F19" s="25"/>
      <c r="G19" s="22"/>
      <c r="H19" s="22"/>
      <c r="I19" s="22"/>
      <c r="J19" s="22"/>
      <c r="K19" s="22"/>
      <c r="L19" s="59"/>
      <c r="M19" s="102"/>
      <c r="N19" s="99"/>
      <c r="P19" s="69">
        <v>203027.8</v>
      </c>
      <c r="Q19" s="69">
        <v>483363</v>
      </c>
      <c r="S19" s="99"/>
      <c r="T19" s="85">
        <f>P19*3</f>
        <v>609083.3999999999</v>
      </c>
      <c r="V19" s="537">
        <v>0.8</v>
      </c>
      <c r="W19" s="63">
        <f>P19*V19</f>
        <v>162422.24</v>
      </c>
      <c r="X19" s="124">
        <f>W19/$W$40</f>
        <v>0.004791341161259492</v>
      </c>
    </row>
    <row r="20" ht="6.75" customHeight="1">
      <c r="V20" s="538"/>
    </row>
    <row r="21" spans="2:26" ht="13.5">
      <c r="B21" s="50" t="s">
        <v>144</v>
      </c>
      <c r="C21" s="51"/>
      <c r="D21" s="51"/>
      <c r="E21" s="51"/>
      <c r="F21" s="51"/>
      <c r="G21" s="51"/>
      <c r="H21" s="51"/>
      <c r="I21" s="51"/>
      <c r="J21" s="51"/>
      <c r="K21" s="51"/>
      <c r="L21" s="51"/>
      <c r="M21" s="51"/>
      <c r="N21" s="50"/>
      <c r="O21" s="51"/>
      <c r="P21" s="51"/>
      <c r="Q21" s="51"/>
      <c r="R21" s="51"/>
      <c r="S21" s="50"/>
      <c r="T21" s="83"/>
      <c r="U21" s="83"/>
      <c r="V21" s="539"/>
      <c r="W21" s="83"/>
      <c r="X21" s="114">
        <f>SUM(X23:X32)</f>
        <v>0.1834095436547214</v>
      </c>
      <c r="Z21" s="331">
        <f>SUM(W23:W56)</f>
        <v>53896688.9448687</v>
      </c>
    </row>
    <row r="22" spans="3:22" ht="12.75">
      <c r="C22" t="s">
        <v>151</v>
      </c>
      <c r="V22" s="538"/>
    </row>
    <row r="23" spans="4:25" ht="13.5">
      <c r="D23" s="49" t="s">
        <v>153</v>
      </c>
      <c r="E23" s="22"/>
      <c r="F23" s="22"/>
      <c r="G23" s="22"/>
      <c r="H23" s="22"/>
      <c r="I23" s="22"/>
      <c r="J23" s="22"/>
      <c r="K23" s="22"/>
      <c r="L23" s="69">
        <f>D74+E74</f>
        <v>1784152.37</v>
      </c>
      <c r="M23" s="94"/>
      <c r="N23" s="99"/>
      <c r="P23" s="69">
        <v>2433704.27</v>
      </c>
      <c r="S23" s="99"/>
      <c r="T23" s="89">
        <f>L23*6</f>
        <v>10704914.22</v>
      </c>
      <c r="V23" s="537">
        <v>0.85</v>
      </c>
      <c r="W23" s="63">
        <f>P23*V23</f>
        <v>2068648.6295</v>
      </c>
      <c r="X23" s="124">
        <f>W23/$W$40</f>
        <v>0.061023670937590736</v>
      </c>
      <c r="Y23" s="93"/>
    </row>
    <row r="24" spans="4:26" ht="13.5">
      <c r="D24" s="49" t="s">
        <v>198</v>
      </c>
      <c r="E24" s="22"/>
      <c r="F24" s="22"/>
      <c r="G24" s="22"/>
      <c r="H24" s="22"/>
      <c r="I24" s="22"/>
      <c r="J24" s="22"/>
      <c r="K24" s="22"/>
      <c r="L24" s="69"/>
      <c r="M24" s="94"/>
      <c r="N24" s="99"/>
      <c r="P24" s="69">
        <v>371830.32</v>
      </c>
      <c r="S24" s="99"/>
      <c r="T24" s="89">
        <f>P24*6</f>
        <v>2230981.92</v>
      </c>
      <c r="V24" s="537">
        <v>0.85</v>
      </c>
      <c r="W24" s="63">
        <f>P24*V24</f>
        <v>316055.772</v>
      </c>
      <c r="X24" s="124">
        <f>W24/$W$40</f>
        <v>0.009323421654800755</v>
      </c>
      <c r="Y24" s="93"/>
      <c r="Z24" s="328">
        <f>W24/P24</f>
        <v>0.85</v>
      </c>
    </row>
    <row r="25" spans="4:24" ht="13.5">
      <c r="D25" s="49" t="s">
        <v>154</v>
      </c>
      <c r="E25" s="22"/>
      <c r="F25" s="22"/>
      <c r="G25" s="22"/>
      <c r="H25" s="22"/>
      <c r="I25" s="22"/>
      <c r="J25" s="22"/>
      <c r="K25" s="22"/>
      <c r="L25" s="69">
        <v>98863.7</v>
      </c>
      <c r="M25" s="94"/>
      <c r="N25" s="99"/>
      <c r="P25" s="69">
        <v>259720.15</v>
      </c>
      <c r="S25" s="99"/>
      <c r="T25" s="89">
        <f>L25*10</f>
        <v>988637</v>
      </c>
      <c r="V25" s="537">
        <v>0.8</v>
      </c>
      <c r="W25" s="63">
        <f>P25*V25</f>
        <v>207776.12</v>
      </c>
      <c r="X25" s="124">
        <f>W25/$W$40</f>
        <v>0.006129248531991626</v>
      </c>
    </row>
    <row r="26" spans="4:24" ht="13.5">
      <c r="D26" s="49" t="s">
        <v>155</v>
      </c>
      <c r="E26" s="22"/>
      <c r="F26" s="22"/>
      <c r="G26" s="22"/>
      <c r="H26" s="22"/>
      <c r="I26" s="22"/>
      <c r="J26" s="22"/>
      <c r="K26" s="22"/>
      <c r="L26" s="69">
        <v>238551.32</v>
      </c>
      <c r="M26" s="94"/>
      <c r="N26" s="99"/>
      <c r="P26" s="69">
        <v>150000</v>
      </c>
      <c r="S26" s="99"/>
      <c r="T26" s="85">
        <f>L26*10</f>
        <v>2385513.2</v>
      </c>
      <c r="V26" s="537">
        <v>0.8</v>
      </c>
      <c r="W26" s="63">
        <f>P26*V26</f>
        <v>120000</v>
      </c>
      <c r="X26" s="124">
        <f>W26/$W$40</f>
        <v>0.0035399150963017077</v>
      </c>
    </row>
    <row r="27" spans="4:25" ht="13.5">
      <c r="D27" s="49" t="s">
        <v>189</v>
      </c>
      <c r="E27" s="22"/>
      <c r="F27" s="22"/>
      <c r="G27" s="22"/>
      <c r="H27" s="22"/>
      <c r="I27" s="22"/>
      <c r="J27" s="22"/>
      <c r="K27" s="22"/>
      <c r="L27" s="69">
        <v>372575.48</v>
      </c>
      <c r="M27" s="94"/>
      <c r="N27" s="99"/>
      <c r="P27" s="69">
        <v>161448.93</v>
      </c>
      <c r="S27" s="99"/>
      <c r="T27" s="85">
        <f>P27*6</f>
        <v>968693.58</v>
      </c>
      <c r="V27" s="537">
        <v>0.8</v>
      </c>
      <c r="W27" s="63">
        <f>P27*V27</f>
        <v>129159.144</v>
      </c>
      <c r="X27" s="124">
        <f>W27/$W$40</f>
        <v>0.003810103363925051</v>
      </c>
      <c r="Y27" s="93"/>
    </row>
    <row r="28" ht="6.75" customHeight="1">
      <c r="V28" s="538"/>
    </row>
    <row r="29" spans="3:22" ht="14.25" thickBot="1">
      <c r="C29" t="s">
        <v>323</v>
      </c>
      <c r="P29" s="189"/>
      <c r="Q29" s="129"/>
      <c r="V29" s="538"/>
    </row>
    <row r="30" spans="4:25" ht="13.5">
      <c r="D30" s="535" t="s">
        <v>416</v>
      </c>
      <c r="E30" s="139"/>
      <c r="F30" s="95"/>
      <c r="G30" s="76"/>
      <c r="H30" s="76"/>
      <c r="I30" s="76"/>
      <c r="J30" s="97"/>
      <c r="K30" s="22"/>
      <c r="L30" s="22"/>
      <c r="M30" s="94"/>
      <c r="N30" s="98"/>
      <c r="P30" s="188">
        <v>3747760.24</v>
      </c>
      <c r="Q30" s="69">
        <f>48588109/1568*150-600000</f>
        <v>4048097.161989796</v>
      </c>
      <c r="R30" s="69">
        <v>4473106</v>
      </c>
      <c r="S30" s="98"/>
      <c r="T30" s="85">
        <f>P30*6</f>
        <v>22486561.44</v>
      </c>
      <c r="V30" s="537">
        <v>0.8</v>
      </c>
      <c r="W30" s="63">
        <f>P30*V30</f>
        <v>2998208.1920000003</v>
      </c>
      <c r="X30" s="124">
        <f>W30/$W$40</f>
        <v>0.08844502033930209</v>
      </c>
      <c r="Y30" s="93"/>
    </row>
    <row r="31" spans="4:26" ht="13.5">
      <c r="D31" s="534" t="s">
        <v>255</v>
      </c>
      <c r="E31" s="25"/>
      <c r="F31" s="25"/>
      <c r="G31" s="25"/>
      <c r="H31" s="25"/>
      <c r="I31" s="25"/>
      <c r="J31" s="25"/>
      <c r="K31" s="22"/>
      <c r="L31" s="69">
        <f>D83</f>
        <v>95404.7</v>
      </c>
      <c r="M31" s="94"/>
      <c r="N31" s="99"/>
      <c r="P31" s="69">
        <f>D82+D83</f>
        <v>234317.68</v>
      </c>
      <c r="Q31" s="69">
        <v>86108</v>
      </c>
      <c r="S31" s="99"/>
      <c r="T31" s="85">
        <f>P31*Y31</f>
        <v>0</v>
      </c>
      <c r="V31" s="537">
        <v>0.8</v>
      </c>
      <c r="W31" s="63">
        <f>P31*V31</f>
        <v>187454.144</v>
      </c>
      <c r="X31" s="124">
        <f>W31/$W$40</f>
        <v>0.005529764618415952</v>
      </c>
      <c r="Y31" s="93"/>
      <c r="Z31" s="93"/>
    </row>
    <row r="32" spans="4:25" ht="14.25" thickBot="1">
      <c r="D32" s="49" t="s">
        <v>415</v>
      </c>
      <c r="E32" s="22"/>
      <c r="F32" s="22"/>
      <c r="G32" s="22"/>
      <c r="H32" s="22"/>
      <c r="I32" s="22"/>
      <c r="J32" s="22"/>
      <c r="K32" s="22"/>
      <c r="L32" s="69">
        <v>146579</v>
      </c>
      <c r="M32" s="94"/>
      <c r="N32" s="100"/>
      <c r="P32" s="69">
        <v>237649.73</v>
      </c>
      <c r="Q32" s="69">
        <v>250496</v>
      </c>
      <c r="S32" s="100"/>
      <c r="T32" s="85">
        <f>P32*6</f>
        <v>1425898.3800000001</v>
      </c>
      <c r="V32" s="537">
        <v>0.8</v>
      </c>
      <c r="W32" s="63">
        <f>P32*V32</f>
        <v>190119.784</v>
      </c>
      <c r="X32" s="124">
        <f>W32/$W$40</f>
        <v>0.0056083991123935</v>
      </c>
      <c r="Y32" s="93"/>
    </row>
    <row r="33" spans="7:22" ht="6.75" customHeight="1">
      <c r="G33" s="53"/>
      <c r="H33" s="53"/>
      <c r="I33" s="53"/>
      <c r="J33" s="53"/>
      <c r="V33" s="538"/>
    </row>
    <row r="34" spans="2:26" ht="13.5">
      <c r="B34" s="50" t="s">
        <v>160</v>
      </c>
      <c r="C34" s="51"/>
      <c r="D34" s="51"/>
      <c r="E34" s="51"/>
      <c r="F34" s="51"/>
      <c r="G34" s="51"/>
      <c r="H34" s="51"/>
      <c r="I34" s="51"/>
      <c r="J34" s="51"/>
      <c r="K34" s="51"/>
      <c r="L34" s="51"/>
      <c r="M34" s="51"/>
      <c r="N34" s="50"/>
      <c r="O34" s="51"/>
      <c r="P34" s="51"/>
      <c r="Q34" s="51"/>
      <c r="R34" s="51"/>
      <c r="S34" s="50"/>
      <c r="T34" s="83"/>
      <c r="U34" s="83"/>
      <c r="V34" s="539"/>
      <c r="W34" s="83"/>
      <c r="X34" s="114">
        <f>SUM(X36:X37)</f>
        <v>0.37088122578245186</v>
      </c>
      <c r="Z34" s="331">
        <f>SUM(W36:W37)</f>
        <v>12572546.48293434</v>
      </c>
    </row>
    <row r="35" spans="3:22" ht="13.5" thickBot="1">
      <c r="C35" t="s">
        <v>161</v>
      </c>
      <c r="V35" s="538"/>
    </row>
    <row r="36" spans="4:25" ht="13.5">
      <c r="D36" s="49" t="s">
        <v>162</v>
      </c>
      <c r="E36" s="22"/>
      <c r="F36" s="22"/>
      <c r="G36" s="22"/>
      <c r="H36" s="22"/>
      <c r="I36" s="22"/>
      <c r="J36" s="22"/>
      <c r="K36" s="22"/>
      <c r="L36" s="22"/>
      <c r="M36" s="94"/>
      <c r="N36" s="98"/>
      <c r="P36" s="69">
        <f>D92+E92</f>
        <v>9908893.31</v>
      </c>
      <c r="S36" s="98"/>
      <c r="T36" s="85">
        <f>P36*Y36</f>
        <v>0</v>
      </c>
      <c r="V36" s="537">
        <v>0.8</v>
      </c>
      <c r="W36" s="63">
        <f>P36*V36</f>
        <v>7927114.648000001</v>
      </c>
      <c r="X36" s="124">
        <f>W36/$W$40</f>
        <v>0.23384427343808004</v>
      </c>
      <c r="Y36" s="93"/>
    </row>
    <row r="37" spans="4:25" ht="13.5">
      <c r="D37" s="49" t="s">
        <v>163</v>
      </c>
      <c r="E37" s="22"/>
      <c r="F37" s="22"/>
      <c r="G37" s="49" t="s">
        <v>254</v>
      </c>
      <c r="H37" s="22"/>
      <c r="I37" s="22"/>
      <c r="J37" s="22"/>
      <c r="K37" s="22"/>
      <c r="L37" s="22"/>
      <c r="M37" s="94"/>
      <c r="N37" s="99"/>
      <c r="P37" s="69">
        <f>AND!T6</f>
        <v>5806789.7936679255</v>
      </c>
      <c r="Q37" s="116"/>
      <c r="S37" s="99"/>
      <c r="T37" s="85">
        <f>P37*Y37</f>
        <v>0</v>
      </c>
      <c r="V37" s="537">
        <v>0.8</v>
      </c>
      <c r="W37" s="63">
        <f>P37*V37</f>
        <v>4645431.834934341</v>
      </c>
      <c r="X37" s="124">
        <f>W37/$W$40</f>
        <v>0.1370369523443718</v>
      </c>
      <c r="Y37" s="93"/>
    </row>
    <row r="38" ht="6.75" customHeight="1"/>
    <row r="39" spans="6:24" ht="5.25" customHeight="1" thickBot="1">
      <c r="F39" s="259"/>
      <c r="G39" s="259"/>
      <c r="H39" s="259"/>
      <c r="I39" s="259"/>
      <c r="J39" s="259"/>
      <c r="K39" s="259"/>
      <c r="L39" s="259"/>
      <c r="M39" s="259"/>
      <c r="N39" s="260"/>
      <c r="O39" s="259"/>
      <c r="P39" s="259"/>
      <c r="Q39" s="259"/>
      <c r="R39" s="259"/>
      <c r="S39" s="260"/>
      <c r="T39" s="261"/>
      <c r="U39" s="259"/>
      <c r="V39" s="259"/>
      <c r="W39" s="259"/>
      <c r="X39" s="259"/>
    </row>
    <row r="40" spans="6:27" ht="15.75" thickBot="1">
      <c r="F40" s="65" t="s">
        <v>421</v>
      </c>
      <c r="P40" s="554">
        <f>SUM(P8:P38)</f>
        <v>42198551.74366793</v>
      </c>
      <c r="T40" s="193">
        <f>SUM(T8:T37)</f>
        <v>52064459.56</v>
      </c>
      <c r="V40" s="66" t="s">
        <v>124</v>
      </c>
      <c r="W40" s="547">
        <f>SUM(W8:W37)</f>
        <v>33899118.12443435</v>
      </c>
      <c r="X40" s="548">
        <f>W40/$W$40</f>
        <v>1</v>
      </c>
      <c r="Z40" s="328">
        <f>W40/P40</f>
        <v>0.8033242071991501</v>
      </c>
      <c r="AA40" s="328"/>
    </row>
    <row r="41" spans="4:17" ht="53.25" customHeight="1">
      <c r="D41" s="80"/>
      <c r="Q41" t="s">
        <v>293</v>
      </c>
    </row>
    <row r="42" spans="4:16" ht="16.5">
      <c r="D42" s="80"/>
      <c r="F42" s="65"/>
      <c r="P42" s="329"/>
    </row>
    <row r="43" spans="4:23" ht="16.5">
      <c r="D43" s="80"/>
      <c r="F43" s="65"/>
      <c r="P43" s="329"/>
      <c r="W43" s="544"/>
    </row>
    <row r="44" spans="4:26" ht="14.25" thickBot="1">
      <c r="D44" s="49" t="s">
        <v>411</v>
      </c>
      <c r="E44" s="22"/>
      <c r="F44" s="22"/>
      <c r="G44" s="22"/>
      <c r="H44" s="22"/>
      <c r="I44" s="22"/>
      <c r="J44" s="22"/>
      <c r="K44" s="22"/>
      <c r="L44" s="22"/>
      <c r="M44" s="94"/>
      <c r="N44" s="100"/>
      <c r="P44" s="69">
        <f>80261.1+113770.09+90122</f>
        <v>284153.19</v>
      </c>
      <c r="S44" s="100"/>
      <c r="T44" s="85">
        <f>P44*6</f>
        <v>1704919.1400000001</v>
      </c>
      <c r="V44" s="537">
        <v>0.8</v>
      </c>
      <c r="W44" s="63">
        <f>P44*V44</f>
        <v>227322.55200000003</v>
      </c>
      <c r="X44" s="124">
        <f>W44/$W$40</f>
        <v>0.006705854446288584</v>
      </c>
      <c r="Y44" s="93"/>
      <c r="Z44" s="328">
        <f>W44/P44</f>
        <v>0.8</v>
      </c>
    </row>
    <row r="45" spans="4:25" ht="13.5">
      <c r="D45" s="535" t="s">
        <v>418</v>
      </c>
      <c r="E45" s="139"/>
      <c r="F45" s="95"/>
      <c r="G45" s="53"/>
      <c r="H45" s="53"/>
      <c r="I45" s="53"/>
      <c r="J45" s="53"/>
      <c r="K45" s="53"/>
      <c r="L45" s="53"/>
      <c r="M45" s="53"/>
      <c r="N45" s="78"/>
      <c r="P45" s="69">
        <v>1225350</v>
      </c>
      <c r="Q45" s="69">
        <v>1225350</v>
      </c>
      <c r="S45" s="78"/>
      <c r="T45" s="85"/>
      <c r="V45" s="537">
        <v>0.8</v>
      </c>
      <c r="W45" s="63">
        <f>P45*V45</f>
        <v>980280</v>
      </c>
      <c r="X45" s="124">
        <f>W45/$W$40</f>
        <v>0.02891756642168865</v>
      </c>
      <c r="Y45" s="93"/>
    </row>
    <row r="46" ht="12.75">
      <c r="D46" s="80"/>
    </row>
    <row r="47" ht="12.75">
      <c r="P47" s="328"/>
    </row>
    <row r="48" spans="3:24" ht="12.75">
      <c r="C48" s="77" t="s">
        <v>413</v>
      </c>
      <c r="D48" s="77"/>
      <c r="E48" s="77"/>
      <c r="F48" s="77"/>
      <c r="G48" s="77"/>
      <c r="H48" s="77"/>
      <c r="I48" s="77"/>
      <c r="J48" s="77"/>
      <c r="K48" s="77"/>
      <c r="L48" s="77"/>
      <c r="M48" s="77"/>
      <c r="O48" s="77"/>
      <c r="P48" s="77"/>
      <c r="Q48" s="77"/>
      <c r="R48" s="77"/>
      <c r="T48" s="543"/>
      <c r="U48" s="77"/>
      <c r="V48" s="77"/>
      <c r="W48" s="77"/>
      <c r="X48" s="77"/>
    </row>
    <row r="49" spans="3:22" ht="13.5" thickBot="1">
      <c r="C49" t="s">
        <v>145</v>
      </c>
      <c r="V49" s="538"/>
    </row>
    <row r="50" spans="4:23" ht="12.75">
      <c r="D50" s="49" t="s">
        <v>146</v>
      </c>
      <c r="E50" s="22"/>
      <c r="F50" s="22"/>
      <c r="G50" s="22"/>
      <c r="H50" s="22"/>
      <c r="I50" s="22"/>
      <c r="J50" s="22"/>
      <c r="K50" s="22"/>
      <c r="L50" s="22"/>
      <c r="M50" s="94"/>
      <c r="N50" s="98"/>
      <c r="S50" s="98"/>
      <c r="T50" s="86"/>
      <c r="V50" s="540"/>
      <c r="W50" s="22"/>
    </row>
    <row r="51" spans="4:23" ht="12.75">
      <c r="D51" s="49" t="s">
        <v>147</v>
      </c>
      <c r="E51" s="22"/>
      <c r="F51" s="22"/>
      <c r="G51" s="22"/>
      <c r="H51" s="22"/>
      <c r="I51" s="22"/>
      <c r="J51" s="22"/>
      <c r="K51" s="22"/>
      <c r="L51" s="22"/>
      <c r="M51" s="94"/>
      <c r="N51" s="99"/>
      <c r="P51" s="105" t="s">
        <v>192</v>
      </c>
      <c r="S51" s="230" t="s">
        <v>295</v>
      </c>
      <c r="T51" s="86"/>
      <c r="V51" s="540"/>
      <c r="W51" s="22"/>
    </row>
    <row r="52" spans="4:23" ht="12.75">
      <c r="D52" s="49" t="s">
        <v>148</v>
      </c>
      <c r="E52" s="22"/>
      <c r="F52" s="22"/>
      <c r="G52" s="22"/>
      <c r="H52" s="22"/>
      <c r="I52" s="22"/>
      <c r="J52" s="22"/>
      <c r="K52" s="22"/>
      <c r="L52" s="22"/>
      <c r="M52" s="94"/>
      <c r="N52" s="99"/>
      <c r="S52" s="99"/>
      <c r="T52" s="86"/>
      <c r="V52" s="540"/>
      <c r="W52" s="22"/>
    </row>
    <row r="53" spans="4:23" ht="12.75">
      <c r="D53" s="49" t="s">
        <v>149</v>
      </c>
      <c r="E53" s="22"/>
      <c r="F53" s="22"/>
      <c r="G53" s="22"/>
      <c r="H53" s="22"/>
      <c r="I53" s="22"/>
      <c r="J53" s="22"/>
      <c r="K53" s="22"/>
      <c r="L53" s="22"/>
      <c r="M53" s="94"/>
      <c r="N53" s="99"/>
      <c r="S53" s="99"/>
      <c r="T53" s="86"/>
      <c r="V53" s="540"/>
      <c r="W53" s="22"/>
    </row>
    <row r="54" spans="4:23" ht="12.75">
      <c r="D54" s="49" t="s">
        <v>150</v>
      </c>
      <c r="E54" s="22"/>
      <c r="F54" s="22"/>
      <c r="G54" s="22"/>
      <c r="H54" s="22"/>
      <c r="I54" s="22"/>
      <c r="J54" s="22"/>
      <c r="K54" s="22"/>
      <c r="L54" s="22"/>
      <c r="M54" s="94"/>
      <c r="N54" s="99"/>
      <c r="S54" s="99"/>
      <c r="T54" s="86"/>
      <c r="V54" s="540"/>
      <c r="W54" s="22"/>
    </row>
    <row r="55" spans="4:23" ht="14.25" thickBot="1">
      <c r="D55" s="49" t="s">
        <v>159</v>
      </c>
      <c r="E55" s="22"/>
      <c r="F55" s="57" t="s">
        <v>165</v>
      </c>
      <c r="G55" s="57"/>
      <c r="H55" s="57"/>
      <c r="I55" s="57"/>
      <c r="J55" s="57"/>
      <c r="K55" s="57"/>
      <c r="L55" s="57"/>
      <c r="M55" s="106"/>
      <c r="N55" s="100"/>
      <c r="S55" s="230" t="s">
        <v>295</v>
      </c>
      <c r="T55" s="86"/>
      <c r="V55" s="540"/>
      <c r="W55" s="22"/>
    </row>
    <row r="56" spans="4:22" ht="13.5">
      <c r="D56" s="125" t="s">
        <v>193</v>
      </c>
      <c r="E56" s="53"/>
      <c r="F56" s="53"/>
      <c r="G56" s="53"/>
      <c r="H56" s="53"/>
      <c r="I56" s="53"/>
      <c r="J56" s="53"/>
      <c r="K56" s="53"/>
      <c r="L56" s="53"/>
      <c r="M56" s="53"/>
      <c r="P56" s="69"/>
      <c r="V56" s="538"/>
    </row>
    <row r="57" spans="3:23" ht="6" customHeight="1">
      <c r="C57" s="62"/>
      <c r="D57" s="62"/>
      <c r="E57" s="62"/>
      <c r="F57" s="62"/>
      <c r="G57" s="62"/>
      <c r="H57" s="62"/>
      <c r="I57" s="62"/>
      <c r="J57" s="62"/>
      <c r="K57" s="62"/>
      <c r="L57" s="62"/>
      <c r="M57" s="62"/>
      <c r="N57" s="79"/>
      <c r="O57" s="62"/>
      <c r="P57" s="62"/>
      <c r="Q57" s="62"/>
      <c r="R57" s="62"/>
      <c r="S57" s="79"/>
      <c r="T57" s="87"/>
      <c r="U57" s="62"/>
      <c r="V57" s="62"/>
      <c r="W57" s="62"/>
    </row>
    <row r="59" spans="4:5" ht="12.75">
      <c r="D59" s="22" t="s">
        <v>205</v>
      </c>
      <c r="E59" s="67">
        <f>E60*4</f>
        <v>687999.2</v>
      </c>
    </row>
    <row r="60" spans="4:5" ht="12.75">
      <c r="D60" t="s">
        <v>171</v>
      </c>
      <c r="E60" s="68">
        <v>171999.8</v>
      </c>
    </row>
    <row r="62" spans="3:5" ht="12.75">
      <c r="C62" s="22"/>
      <c r="D62" s="49" t="s">
        <v>125</v>
      </c>
      <c r="E62" s="49" t="s">
        <v>177</v>
      </c>
    </row>
    <row r="63" spans="3:5" ht="13.5">
      <c r="C63" s="22"/>
      <c r="D63" s="57" t="s">
        <v>176</v>
      </c>
      <c r="E63" s="57" t="s">
        <v>175</v>
      </c>
    </row>
    <row r="64" spans="3:5" ht="12.75">
      <c r="C64" s="22"/>
      <c r="D64" s="22"/>
      <c r="E64" s="22"/>
    </row>
    <row r="65" spans="3:5" ht="13.5">
      <c r="C65" s="57">
        <v>2005</v>
      </c>
      <c r="D65" s="64">
        <v>6734159.7</v>
      </c>
      <c r="E65" s="57">
        <v>368</v>
      </c>
    </row>
    <row r="66" spans="3:5" ht="12.75">
      <c r="C66" s="22"/>
      <c r="D66" s="22"/>
      <c r="E66" s="22"/>
    </row>
    <row r="67" spans="3:5" ht="13.5">
      <c r="C67" s="57">
        <v>2007</v>
      </c>
      <c r="D67" s="64">
        <f>8793011.4+1373858.6</f>
        <v>10166870</v>
      </c>
      <c r="E67" s="57">
        <f>414+74</f>
        <v>488</v>
      </c>
    </row>
    <row r="68" spans="3:5" ht="12.75">
      <c r="C68" s="22"/>
      <c r="D68" s="22"/>
      <c r="E68" s="22"/>
    </row>
    <row r="71" spans="3:5" ht="12.75">
      <c r="C71" s="22"/>
      <c r="D71" s="49" t="s">
        <v>178</v>
      </c>
      <c r="E71" s="49"/>
    </row>
    <row r="72" spans="3:6" ht="13.5">
      <c r="C72" s="22"/>
      <c r="D72" s="57" t="s">
        <v>179</v>
      </c>
      <c r="E72" s="72" t="s">
        <v>180</v>
      </c>
      <c r="F72" s="73" t="s">
        <v>202</v>
      </c>
    </row>
    <row r="73" spans="3:5" ht="12.75">
      <c r="C73" s="22"/>
      <c r="D73" s="22"/>
      <c r="E73" s="22"/>
    </row>
    <row r="74" spans="3:5" ht="13.5">
      <c r="C74" s="57">
        <v>2005</v>
      </c>
      <c r="D74" s="70">
        <v>959197.73</v>
      </c>
      <c r="E74" s="70">
        <v>824954.64</v>
      </c>
    </row>
    <row r="75" spans="3:5" ht="12.75">
      <c r="C75" s="22"/>
      <c r="D75" s="35"/>
      <c r="E75" s="35"/>
    </row>
    <row r="76" spans="3:6" ht="13.5">
      <c r="C76" s="57">
        <v>2007</v>
      </c>
      <c r="D76" s="117">
        <v>2433704.27</v>
      </c>
      <c r="E76" s="95"/>
      <c r="F76" s="118">
        <f>P24</f>
        <v>371830.32</v>
      </c>
    </row>
    <row r="77" spans="3:5" ht="12.75">
      <c r="C77" s="22"/>
      <c r="D77" s="25"/>
      <c r="E77" s="25"/>
    </row>
    <row r="79" ht="12.75">
      <c r="D79" t="s">
        <v>158</v>
      </c>
    </row>
    <row r="80" spans="3:12" ht="12.75">
      <c r="C80" t="s">
        <v>181</v>
      </c>
      <c r="G80" s="62" t="s">
        <v>157</v>
      </c>
      <c r="H80" s="62"/>
      <c r="I80" s="62"/>
      <c r="J80" s="62"/>
      <c r="K80" s="62"/>
      <c r="L80" s="62"/>
    </row>
    <row r="81" spans="4:11" ht="12.75">
      <c r="D81" t="s">
        <v>182</v>
      </c>
      <c r="H81" s="65" t="s">
        <v>184</v>
      </c>
      <c r="I81" s="578" t="s">
        <v>183</v>
      </c>
      <c r="J81" s="578"/>
      <c r="K81" s="578"/>
    </row>
    <row r="82" spans="3:12" ht="13.5">
      <c r="C82">
        <v>5</v>
      </c>
      <c r="D82" s="115">
        <v>138912.98</v>
      </c>
      <c r="E82" s="75">
        <f>D82/C82</f>
        <v>27782.596</v>
      </c>
      <c r="F82" s="80" t="s">
        <v>256</v>
      </c>
      <c r="G82" s="57">
        <v>2005</v>
      </c>
      <c r="H82">
        <v>64</v>
      </c>
      <c r="I82">
        <v>87</v>
      </c>
      <c r="J82">
        <v>5</v>
      </c>
      <c r="K82">
        <v>5</v>
      </c>
      <c r="L82" s="22">
        <f>H82+I82+J82+K82</f>
        <v>161</v>
      </c>
    </row>
    <row r="83" spans="3:6" ht="12.75">
      <c r="C83">
        <v>5</v>
      </c>
      <c r="D83" s="115">
        <v>95404.7</v>
      </c>
      <c r="E83" s="75">
        <f>D83/C83</f>
        <v>19080.94</v>
      </c>
      <c r="F83" s="80" t="s">
        <v>257</v>
      </c>
    </row>
    <row r="84" spans="7:12" ht="13.5">
      <c r="G84" s="57">
        <v>2007</v>
      </c>
      <c r="H84">
        <v>64</v>
      </c>
      <c r="I84">
        <v>87</v>
      </c>
      <c r="J84">
        <v>5</v>
      </c>
      <c r="K84">
        <v>5</v>
      </c>
      <c r="L84" s="22">
        <f>H84+I84+J84+K84</f>
        <v>161</v>
      </c>
    </row>
    <row r="87" spans="3:5" ht="12.75">
      <c r="C87" s="22"/>
      <c r="D87" s="49" t="s">
        <v>200</v>
      </c>
      <c r="E87" s="49"/>
    </row>
    <row r="88" spans="3:12" ht="13.5">
      <c r="C88" s="61"/>
      <c r="D88" s="110" t="s">
        <v>196</v>
      </c>
      <c r="E88" s="110" t="s">
        <v>197</v>
      </c>
      <c r="F88" s="111" t="s">
        <v>175</v>
      </c>
      <c r="G88" s="112" t="s">
        <v>195</v>
      </c>
      <c r="H88" s="62"/>
      <c r="I88" s="62"/>
      <c r="J88" s="62"/>
      <c r="K88" s="110" t="s">
        <v>199</v>
      </c>
      <c r="L88" s="62"/>
    </row>
    <row r="89" spans="3:6" ht="12.75">
      <c r="C89" s="22"/>
      <c r="D89" s="22"/>
      <c r="E89" s="22"/>
      <c r="F89" s="65"/>
    </row>
    <row r="90" spans="3:6" ht="13.5">
      <c r="C90" s="57">
        <v>2005</v>
      </c>
      <c r="D90" s="70"/>
      <c r="E90" s="70"/>
      <c r="F90" s="65"/>
    </row>
    <row r="91" spans="3:6" ht="12.75">
      <c r="C91" s="22"/>
      <c r="D91" s="22"/>
      <c r="E91" s="22"/>
      <c r="F91" s="65"/>
    </row>
    <row r="92" spans="3:12" ht="13.5">
      <c r="C92" s="57">
        <v>2007</v>
      </c>
      <c r="D92" s="70">
        <v>9673711.59</v>
      </c>
      <c r="E92" s="70">
        <v>235181.72</v>
      </c>
      <c r="F92" s="108">
        <v>5176</v>
      </c>
      <c r="G92" s="22">
        <v>402</v>
      </c>
      <c r="K92" s="70">
        <v>682582.8</v>
      </c>
      <c r="L92" s="113">
        <f>K92/D92</f>
        <v>0.07056059028114979</v>
      </c>
    </row>
    <row r="93" spans="3:5" ht="12.75">
      <c r="C93" s="22"/>
      <c r="D93" s="22"/>
      <c r="E93" s="22"/>
    </row>
    <row r="94" spans="3:5" ht="12.75">
      <c r="C94" s="22"/>
      <c r="D94" s="22"/>
      <c r="E94" s="22"/>
    </row>
  </sheetData>
  <mergeCells count="1">
    <mergeCell ref="I81:K81"/>
  </mergeCells>
  <printOptions/>
  <pageMargins left="0.49" right="0.23" top="0.23" bottom="0.29" header="0.14" footer="0"/>
  <pageSetup fitToHeight="2" fitToWidth="1" horizontalDpi="300" verticalDpi="300" orientation="landscape" paperSize="9" r:id="rId1"/>
  <headerFooter alignWithMargins="0">
    <oddFooter>&amp;R&amp;8&amp;F &amp;D &amp;P/&amp;N</oddFooter>
  </headerFooter>
</worksheet>
</file>

<file path=xl/worksheets/sheet6.xml><?xml version="1.0" encoding="utf-8"?>
<worksheet xmlns="http://schemas.openxmlformats.org/spreadsheetml/2006/main" xmlns:r="http://schemas.openxmlformats.org/officeDocument/2006/relationships">
  <dimension ref="B2:E16"/>
  <sheetViews>
    <sheetView workbookViewId="0" topLeftCell="A1">
      <selection activeCell="C34" sqref="C34"/>
    </sheetView>
  </sheetViews>
  <sheetFormatPr defaultColWidth="11.421875" defaultRowHeight="12.75"/>
  <cols>
    <col min="1" max="1" width="11.421875" style="438" customWidth="1"/>
    <col min="2" max="2" width="11.421875" style="436" customWidth="1"/>
    <col min="3" max="3" width="11.421875" style="438" customWidth="1"/>
    <col min="4" max="4" width="19.140625" style="438" customWidth="1"/>
    <col min="5" max="5" width="17.421875" style="438" customWidth="1"/>
    <col min="6" max="16384" width="11.421875" style="438" customWidth="1"/>
  </cols>
  <sheetData>
    <row r="2" spans="3:5" ht="12.75">
      <c r="C2" s="437" t="s">
        <v>359</v>
      </c>
      <c r="D2" s="437"/>
      <c r="E2" s="437"/>
    </row>
    <row r="3" spans="2:5" ht="25.5" customHeight="1">
      <c r="B3" s="580"/>
      <c r="C3" s="579" t="s">
        <v>360</v>
      </c>
      <c r="D3" s="579" t="s">
        <v>361</v>
      </c>
      <c r="E3" s="579" t="s">
        <v>362</v>
      </c>
    </row>
    <row r="4" spans="2:5" ht="12.75">
      <c r="B4" s="580"/>
      <c r="C4" s="579"/>
      <c r="D4" s="579"/>
      <c r="E4" s="579"/>
    </row>
    <row r="5" spans="2:5" ht="12.75" customHeight="1">
      <c r="B5" s="440"/>
      <c r="C5" s="441">
        <v>2000</v>
      </c>
      <c r="D5" s="441">
        <v>1</v>
      </c>
      <c r="E5" s="442">
        <v>3800</v>
      </c>
    </row>
    <row r="6" spans="2:5" ht="15.75">
      <c r="B6" s="439"/>
      <c r="C6" s="443">
        <v>2001</v>
      </c>
      <c r="D6" s="443">
        <v>2</v>
      </c>
      <c r="E6" s="444">
        <v>7700</v>
      </c>
    </row>
    <row r="7" spans="2:5" ht="15.75">
      <c r="B7" s="439"/>
      <c r="C7" s="443">
        <v>2002</v>
      </c>
      <c r="D7" s="443">
        <v>1</v>
      </c>
      <c r="E7" s="444">
        <v>4200</v>
      </c>
    </row>
    <row r="8" spans="2:5" ht="15.75">
      <c r="B8" s="439"/>
      <c r="C8" s="443">
        <v>2003</v>
      </c>
      <c r="D8" s="443">
        <v>2</v>
      </c>
      <c r="E8" s="444">
        <v>8400</v>
      </c>
    </row>
    <row r="9" spans="2:5" ht="15.75">
      <c r="B9" s="439"/>
      <c r="C9" s="443">
        <v>2004</v>
      </c>
      <c r="D9" s="443">
        <v>3</v>
      </c>
      <c r="E9" s="444">
        <v>13500</v>
      </c>
    </row>
    <row r="10" spans="2:5" ht="15.75">
      <c r="B10" s="439"/>
      <c r="C10" s="443">
        <v>2005</v>
      </c>
      <c r="D10" s="443">
        <v>5</v>
      </c>
      <c r="E10" s="444">
        <v>25500</v>
      </c>
    </row>
    <row r="11" spans="2:5" ht="15.75">
      <c r="B11" s="439"/>
      <c r="C11" s="443">
        <v>2006</v>
      </c>
      <c r="D11" s="443">
        <v>2</v>
      </c>
      <c r="E11" s="444">
        <v>10400</v>
      </c>
    </row>
    <row r="12" spans="2:5" ht="15.75">
      <c r="B12" s="439"/>
      <c r="C12" s="443">
        <v>2007</v>
      </c>
      <c r="D12" s="443">
        <v>1</v>
      </c>
      <c r="E12" s="444">
        <v>5200</v>
      </c>
    </row>
    <row r="13" spans="2:5" ht="15.75">
      <c r="B13" s="439"/>
      <c r="C13" s="443">
        <v>2008</v>
      </c>
      <c r="D13" s="443">
        <v>3</v>
      </c>
      <c r="E13" s="444">
        <v>15600</v>
      </c>
    </row>
    <row r="14" spans="2:5" ht="15.75">
      <c r="B14" s="580"/>
      <c r="C14" s="443">
        <v>2009</v>
      </c>
      <c r="D14" s="443">
        <v>4</v>
      </c>
      <c r="E14" s="444">
        <v>21800</v>
      </c>
    </row>
    <row r="15" spans="2:5" s="436" customFormat="1" ht="5.25" customHeight="1">
      <c r="B15" s="580"/>
      <c r="C15" s="445"/>
      <c r="D15" s="445"/>
      <c r="E15" s="446"/>
    </row>
    <row r="16" spans="3:5" ht="12.75">
      <c r="C16" s="447" t="s">
        <v>127</v>
      </c>
      <c r="D16" s="448">
        <f>SUM(D5:D15)</f>
        <v>24</v>
      </c>
      <c r="E16" s="449">
        <f>SUM(E5:E15)</f>
        <v>116100</v>
      </c>
    </row>
  </sheetData>
  <mergeCells count="5">
    <mergeCell ref="E3:E4"/>
    <mergeCell ref="B14:B15"/>
    <mergeCell ref="B3:B4"/>
    <mergeCell ref="C3:C4"/>
    <mergeCell ref="D3:D4"/>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B5:I33"/>
  <sheetViews>
    <sheetView workbookViewId="0" topLeftCell="A7">
      <selection activeCell="D31" sqref="D31"/>
    </sheetView>
  </sheetViews>
  <sheetFormatPr defaultColWidth="11.421875" defaultRowHeight="12.75"/>
  <cols>
    <col min="1" max="1" width="11.421875" style="438" customWidth="1"/>
    <col min="2" max="2" width="35.57421875" style="438" bestFit="1" customWidth="1"/>
    <col min="3" max="3" width="11.421875" style="438" customWidth="1"/>
    <col min="4" max="4" width="6.421875" style="438" customWidth="1"/>
    <col min="5" max="5" width="10.00390625" style="438" customWidth="1"/>
    <col min="6" max="6" width="10.421875" style="438" customWidth="1"/>
    <col min="7" max="7" width="2.28125" style="438" customWidth="1"/>
    <col min="8" max="16384" width="11.421875" style="438" customWidth="1"/>
  </cols>
  <sheetData>
    <row r="5" spans="2:6" ht="12.75">
      <c r="B5" s="450" t="s">
        <v>265</v>
      </c>
      <c r="C5" s="451" t="s">
        <v>363</v>
      </c>
      <c r="E5" s="438" t="s">
        <v>364</v>
      </c>
      <c r="F5" s="438" t="s">
        <v>365</v>
      </c>
    </row>
    <row r="6" spans="2:3" ht="15.75">
      <c r="B6" s="452" t="s">
        <v>366</v>
      </c>
      <c r="C6" s="453"/>
    </row>
    <row r="7" spans="2:6" ht="12.75">
      <c r="B7" s="454" t="s">
        <v>367</v>
      </c>
      <c r="C7" s="455">
        <v>69205.92</v>
      </c>
      <c r="D7" s="456"/>
      <c r="E7" s="457">
        <v>91</v>
      </c>
      <c r="F7" s="457"/>
    </row>
    <row r="8" spans="2:6" ht="12.75">
      <c r="B8" s="458" t="s">
        <v>368</v>
      </c>
      <c r="C8" s="459">
        <v>6054</v>
      </c>
      <c r="E8" s="460"/>
      <c r="F8" s="460">
        <v>13</v>
      </c>
    </row>
    <row r="9" spans="2:6" ht="15.75">
      <c r="B9" s="452" t="s">
        <v>369</v>
      </c>
      <c r="C9" s="459"/>
      <c r="E9" s="460"/>
      <c r="F9" s="460"/>
    </row>
    <row r="10" spans="2:6" ht="12.75">
      <c r="B10" s="454" t="s">
        <v>367</v>
      </c>
      <c r="C10" s="455">
        <v>99946</v>
      </c>
      <c r="D10" s="456"/>
      <c r="E10" s="457">
        <v>122</v>
      </c>
      <c r="F10" s="457"/>
    </row>
    <row r="11" spans="2:6" ht="12.75">
      <c r="B11" s="458" t="s">
        <v>368</v>
      </c>
      <c r="C11" s="459">
        <v>8735</v>
      </c>
      <c r="E11" s="460"/>
      <c r="F11" s="460">
        <v>13</v>
      </c>
    </row>
    <row r="12" spans="2:6" ht="15.75">
      <c r="B12" s="452" t="s">
        <v>370</v>
      </c>
      <c r="C12" s="459"/>
      <c r="E12" s="460"/>
      <c r="F12" s="460"/>
    </row>
    <row r="13" spans="2:6" ht="12.75">
      <c r="B13" s="454" t="s">
        <v>367</v>
      </c>
      <c r="C13" s="455">
        <v>104098</v>
      </c>
      <c r="D13" s="456"/>
      <c r="E13" s="457">
        <v>160</v>
      </c>
      <c r="F13" s="457"/>
    </row>
    <row r="14" spans="2:6" ht="12.75">
      <c r="B14" s="458" t="s">
        <v>368</v>
      </c>
      <c r="C14" s="459">
        <v>6677.95</v>
      </c>
      <c r="E14" s="460"/>
      <c r="F14" s="460">
        <v>14</v>
      </c>
    </row>
    <row r="15" spans="2:6" ht="15.75">
      <c r="B15" s="452" t="s">
        <v>371</v>
      </c>
      <c r="C15" s="459"/>
      <c r="E15" s="460"/>
      <c r="F15" s="460"/>
    </row>
    <row r="16" spans="2:6" ht="12.75">
      <c r="B16" s="454" t="s">
        <v>367</v>
      </c>
      <c r="C16" s="455">
        <v>114233</v>
      </c>
      <c r="D16" s="456"/>
      <c r="E16" s="457">
        <v>146</v>
      </c>
      <c r="F16" s="457"/>
    </row>
    <row r="17" spans="2:6" ht="12.75">
      <c r="B17" s="458" t="s">
        <v>372</v>
      </c>
      <c r="C17" s="459">
        <v>9979.5</v>
      </c>
      <c r="E17" s="460"/>
      <c r="F17" s="460">
        <v>16</v>
      </c>
    </row>
    <row r="18" spans="2:6" ht="13.5" thickBot="1">
      <c r="B18" s="453"/>
      <c r="C18" s="461"/>
      <c r="E18" s="460"/>
      <c r="F18" s="460"/>
    </row>
    <row r="19" spans="2:6" ht="12.75">
      <c r="B19" s="462" t="s">
        <v>373</v>
      </c>
      <c r="C19" s="459">
        <f>C7+C10+C13+C16</f>
        <v>387482.92</v>
      </c>
      <c r="D19" s="463">
        <f>C19/C21</f>
        <v>0.924936153318637</v>
      </c>
      <c r="E19" s="460"/>
      <c r="F19" s="460"/>
    </row>
    <row r="20" spans="2:6" ht="12.75">
      <c r="B20" s="462" t="s">
        <v>374</v>
      </c>
      <c r="C20" s="455">
        <f>C8+C11+C14+C17</f>
        <v>31446.45</v>
      </c>
      <c r="D20" s="463">
        <f>C20/C21</f>
        <v>0.07506384668136303</v>
      </c>
      <c r="E20" s="460"/>
      <c r="F20" s="460"/>
    </row>
    <row r="21" spans="2:6" ht="12.75">
      <c r="B21" s="453"/>
      <c r="C21" s="459">
        <f>C19+C20</f>
        <v>418929.37</v>
      </c>
      <c r="D21" s="463">
        <f>C21/C21</f>
        <v>1</v>
      </c>
      <c r="E21" s="460"/>
      <c r="F21" s="460"/>
    </row>
    <row r="22" spans="2:6" ht="13.5">
      <c r="B22" s="464" t="s">
        <v>399</v>
      </c>
      <c r="E22" s="460"/>
      <c r="F22" s="460"/>
    </row>
    <row r="23" spans="2:6" ht="13.5">
      <c r="B23" s="465" t="s">
        <v>375</v>
      </c>
      <c r="E23" s="460"/>
      <c r="F23" s="460"/>
    </row>
    <row r="24" spans="5:6" ht="12.75">
      <c r="E24" s="460"/>
      <c r="F24" s="460"/>
    </row>
    <row r="25" spans="2:6" ht="15.75">
      <c r="B25" s="452" t="s">
        <v>376</v>
      </c>
      <c r="C25" s="459"/>
      <c r="E25" s="460"/>
      <c r="F25" s="460"/>
    </row>
    <row r="26" spans="2:6" ht="12.75">
      <c r="B26" s="454" t="s">
        <v>367</v>
      </c>
      <c r="C26" s="455">
        <v>144168</v>
      </c>
      <c r="D26" s="456"/>
      <c r="E26" s="457">
        <v>192</v>
      </c>
      <c r="F26" s="457"/>
    </row>
    <row r="27" spans="2:6" ht="12.75">
      <c r="B27" s="458" t="s">
        <v>372</v>
      </c>
      <c r="C27" s="459">
        <v>7813</v>
      </c>
      <c r="E27" s="460"/>
      <c r="F27" s="460">
        <v>11</v>
      </c>
    </row>
    <row r="28" spans="5:6" ht="12.75">
      <c r="E28" s="460"/>
      <c r="F28" s="460"/>
    </row>
    <row r="29" spans="2:6" ht="15.75">
      <c r="B29" s="452" t="s">
        <v>377</v>
      </c>
      <c r="C29" s="459"/>
      <c r="E29" s="460"/>
      <c r="F29" s="460"/>
    </row>
    <row r="30" spans="2:6" ht="12.75">
      <c r="B30" s="454" t="s">
        <v>367</v>
      </c>
      <c r="C30" s="455">
        <v>266241</v>
      </c>
      <c r="D30" s="456"/>
      <c r="E30" s="457">
        <v>195</v>
      </c>
      <c r="F30" s="457"/>
    </row>
    <row r="31" spans="2:6" ht="13.5" thickBot="1">
      <c r="B31" s="458" t="s">
        <v>372</v>
      </c>
      <c r="C31" s="459">
        <v>12920</v>
      </c>
      <c r="E31" s="466"/>
      <c r="F31" s="467">
        <v>19</v>
      </c>
    </row>
    <row r="32" spans="5:6" ht="12.75">
      <c r="E32" s="468">
        <f>SUM(E7:E31)</f>
        <v>906</v>
      </c>
      <c r="F32" s="468">
        <f>SUM(F7:F31)</f>
        <v>86</v>
      </c>
    </row>
    <row r="33" spans="3:9" ht="12.75">
      <c r="C33" s="438" t="s">
        <v>378</v>
      </c>
      <c r="E33" s="469">
        <f>C7+C10+C13+C16+C26+C30</f>
        <v>797891.9199999999</v>
      </c>
      <c r="F33" s="469">
        <f>C8+C11+C14+C17+C27+C31</f>
        <v>52179.45</v>
      </c>
      <c r="H33" s="470">
        <f>E33+F33</f>
        <v>850071.3699999999</v>
      </c>
      <c r="I33" s="471" t="s">
        <v>379</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F71"/>
  <sheetViews>
    <sheetView workbookViewId="0" topLeftCell="A37">
      <selection activeCell="H56" sqref="H56"/>
    </sheetView>
  </sheetViews>
  <sheetFormatPr defaultColWidth="11.421875" defaultRowHeight="12.75"/>
  <cols>
    <col min="1" max="1" width="40.7109375" style="438" bestFit="1" customWidth="1"/>
    <col min="2" max="3" width="12.8515625" style="438" bestFit="1" customWidth="1"/>
    <col min="4" max="4" width="1.57421875" style="438" customWidth="1"/>
    <col min="5" max="5" width="9.7109375" style="438" customWidth="1"/>
    <col min="6" max="16384" width="11.421875" style="438" customWidth="1"/>
  </cols>
  <sheetData>
    <row r="1" spans="1:2" ht="12.75">
      <c r="A1" s="472">
        <v>0.0814</v>
      </c>
      <c r="B1" s="438" t="s">
        <v>380</v>
      </c>
    </row>
    <row r="3" spans="1:3" ht="12.75">
      <c r="A3" s="473" t="s">
        <v>381</v>
      </c>
      <c r="B3" s="474"/>
      <c r="C3" s="475"/>
    </row>
    <row r="4" spans="1:3" ht="12.75">
      <c r="A4" s="473"/>
      <c r="B4" s="474"/>
      <c r="C4" s="475"/>
    </row>
    <row r="5" spans="2:6" ht="12.75">
      <c r="B5" s="475"/>
      <c r="C5" s="475"/>
      <c r="F5" s="438">
        <v>2000</v>
      </c>
    </row>
    <row r="6" spans="1:3" ht="12.75">
      <c r="A6" s="476" t="s">
        <v>382</v>
      </c>
      <c r="B6" s="477" t="s">
        <v>383</v>
      </c>
      <c r="C6" s="478" t="s">
        <v>384</v>
      </c>
    </row>
    <row r="7" spans="1:3" ht="12.75">
      <c r="A7" s="479" t="s">
        <v>385</v>
      </c>
      <c r="B7" s="480">
        <v>3353</v>
      </c>
      <c r="C7" s="481"/>
    </row>
    <row r="8" spans="1:3" ht="12.75">
      <c r="A8" s="479" t="s">
        <v>386</v>
      </c>
      <c r="B8" s="480">
        <v>399</v>
      </c>
      <c r="C8" s="481"/>
    </row>
    <row r="9" spans="1:3" ht="12.75">
      <c r="A9" s="482" t="s">
        <v>219</v>
      </c>
      <c r="B9" s="483">
        <f>B8*$A$1</f>
        <v>32.4786</v>
      </c>
      <c r="C9" s="484">
        <f>B9*$E$71</f>
        <v>68205.06</v>
      </c>
    </row>
    <row r="10" spans="1:3" ht="12.75">
      <c r="A10" s="473"/>
      <c r="B10" s="485"/>
      <c r="C10" s="475"/>
    </row>
    <row r="11" spans="2:3" ht="12.75">
      <c r="B11" s="486"/>
      <c r="C11" s="475"/>
    </row>
    <row r="12" spans="1:3" ht="12.75">
      <c r="A12" s="476" t="s">
        <v>387</v>
      </c>
      <c r="B12" s="477" t="s">
        <v>383</v>
      </c>
      <c r="C12" s="478" t="s">
        <v>384</v>
      </c>
    </row>
    <row r="13" spans="1:3" ht="12.75">
      <c r="A13" s="479" t="s">
        <v>385</v>
      </c>
      <c r="B13" s="480">
        <v>4226</v>
      </c>
      <c r="C13" s="481"/>
    </row>
    <row r="14" spans="1:3" ht="12.75">
      <c r="A14" s="479" t="s">
        <v>386</v>
      </c>
      <c r="B14" s="480">
        <v>581</v>
      </c>
      <c r="C14" s="481"/>
    </row>
    <row r="15" spans="1:3" ht="12.75">
      <c r="A15" s="482" t="s">
        <v>219</v>
      </c>
      <c r="B15" s="483">
        <f>B14*$A$1</f>
        <v>47.2934</v>
      </c>
      <c r="C15" s="484">
        <f>B15*$E$71</f>
        <v>99316.14</v>
      </c>
    </row>
    <row r="16" spans="1:3" ht="12.75">
      <c r="A16" s="473"/>
      <c r="B16" s="485"/>
      <c r="C16" s="475"/>
    </row>
    <row r="17" spans="2:3" ht="12.75">
      <c r="B17" s="486"/>
      <c r="C17" s="475"/>
    </row>
    <row r="18" spans="1:3" ht="12.75">
      <c r="A18" s="476" t="s">
        <v>388</v>
      </c>
      <c r="B18" s="477" t="s">
        <v>383</v>
      </c>
      <c r="C18" s="478" t="s">
        <v>384</v>
      </c>
    </row>
    <row r="19" spans="1:3" ht="12.75">
      <c r="A19" s="479" t="s">
        <v>385</v>
      </c>
      <c r="B19" s="480">
        <v>4682</v>
      </c>
      <c r="C19" s="481"/>
    </row>
    <row r="20" spans="1:3" ht="12.75">
      <c r="A20" s="479" t="s">
        <v>386</v>
      </c>
      <c r="B20" s="480">
        <v>593</v>
      </c>
      <c r="C20" s="481"/>
    </row>
    <row r="21" spans="1:3" ht="12.75">
      <c r="A21" s="482" t="s">
        <v>219</v>
      </c>
      <c r="B21" s="483">
        <f>B20*$A$1</f>
        <v>48.2702</v>
      </c>
      <c r="C21" s="484">
        <f>B21*$E$71</f>
        <v>101367.42000000001</v>
      </c>
    </row>
    <row r="22" spans="2:3" ht="12.75">
      <c r="B22" s="485"/>
      <c r="C22" s="475"/>
    </row>
    <row r="23" spans="2:3" ht="12.75">
      <c r="B23" s="486"/>
      <c r="C23" s="475"/>
    </row>
    <row r="24" spans="1:3" ht="12.75">
      <c r="A24" s="476" t="s">
        <v>389</v>
      </c>
      <c r="B24" s="477" t="s">
        <v>383</v>
      </c>
      <c r="C24" s="478" t="s">
        <v>384</v>
      </c>
    </row>
    <row r="25" spans="1:3" ht="12.75">
      <c r="A25" s="479" t="s">
        <v>385</v>
      </c>
      <c r="B25" s="480">
        <v>4667</v>
      </c>
      <c r="C25" s="481"/>
    </row>
    <row r="26" spans="1:3" ht="12.75">
      <c r="A26" s="479" t="s">
        <v>386</v>
      </c>
      <c r="B26" s="480">
        <v>694</v>
      </c>
      <c r="C26" s="481"/>
    </row>
    <row r="27" spans="1:3" ht="12.75">
      <c r="A27" s="482" t="s">
        <v>219</v>
      </c>
      <c r="B27" s="483">
        <f>B26*$A$1</f>
        <v>56.4916</v>
      </c>
      <c r="C27" s="484">
        <f>B27*$E$71</f>
        <v>118632.36</v>
      </c>
    </row>
    <row r="28" spans="2:3" ht="12.75">
      <c r="B28" s="486"/>
      <c r="C28" s="475"/>
    </row>
    <row r="29" spans="2:3" s="487" customFormat="1" ht="12.75">
      <c r="B29" s="488"/>
      <c r="C29" s="489"/>
    </row>
    <row r="30" spans="1:3" ht="12.75">
      <c r="A30" s="476" t="s">
        <v>390</v>
      </c>
      <c r="B30" s="477" t="s">
        <v>383</v>
      </c>
      <c r="C30" s="478" t="s">
        <v>384</v>
      </c>
    </row>
    <row r="31" spans="1:3" ht="12.75">
      <c r="A31" s="479" t="s">
        <v>385</v>
      </c>
      <c r="B31" s="480">
        <v>5207</v>
      </c>
      <c r="C31" s="481"/>
    </row>
    <row r="32" spans="1:3" ht="12.75">
      <c r="A32" s="479" t="s">
        <v>386</v>
      </c>
      <c r="B32" s="480">
        <v>947</v>
      </c>
      <c r="C32" s="481"/>
    </row>
    <row r="33" spans="1:3" ht="12.75">
      <c r="A33" s="482" t="s">
        <v>219</v>
      </c>
      <c r="B33" s="483">
        <f>B32*$A$1</f>
        <v>77.0858</v>
      </c>
      <c r="C33" s="484">
        <f>B33*$E$71</f>
        <v>161880.18000000002</v>
      </c>
    </row>
    <row r="34" spans="2:3" ht="12.75">
      <c r="B34" s="486"/>
      <c r="C34" s="475"/>
    </row>
    <row r="35" spans="2:3" ht="12.75">
      <c r="B35" s="490"/>
      <c r="C35" s="491"/>
    </row>
    <row r="36" spans="1:3" ht="12.75">
      <c r="A36" s="476" t="s">
        <v>391</v>
      </c>
      <c r="B36" s="477" t="s">
        <v>383</v>
      </c>
      <c r="C36" s="478" t="s">
        <v>384</v>
      </c>
    </row>
    <row r="37" spans="1:3" ht="12.75">
      <c r="A37" s="479" t="s">
        <v>385</v>
      </c>
      <c r="B37" s="480">
        <v>6120</v>
      </c>
      <c r="C37" s="481"/>
    </row>
    <row r="38" spans="1:3" ht="12.75">
      <c r="A38" s="479" t="s">
        <v>386</v>
      </c>
      <c r="B38" s="480">
        <v>1379</v>
      </c>
      <c r="C38" s="481"/>
    </row>
    <row r="39" spans="1:5" ht="12.75">
      <c r="A39" s="492" t="s">
        <v>392</v>
      </c>
      <c r="B39" s="507">
        <v>22</v>
      </c>
      <c r="C39" s="508">
        <v>43067</v>
      </c>
      <c r="E39" s="494">
        <f>C39/B39</f>
        <v>1957.590909090909</v>
      </c>
    </row>
    <row r="40" spans="1:3" ht="12.75">
      <c r="A40" s="482" t="s">
        <v>393</v>
      </c>
      <c r="B40" s="483">
        <f>B38*$A$1-B39</f>
        <v>90.2506</v>
      </c>
      <c r="C40" s="484">
        <f>B40*$E$71</f>
        <v>189526.26</v>
      </c>
    </row>
    <row r="41" spans="1:3" ht="12.75">
      <c r="A41" s="495"/>
      <c r="B41" s="496"/>
      <c r="C41" s="475"/>
    </row>
    <row r="42" spans="2:3" s="487" customFormat="1" ht="12.75">
      <c r="B42" s="488"/>
      <c r="C42" s="489"/>
    </row>
    <row r="43" spans="1:3" ht="12.75">
      <c r="A43" s="476" t="s">
        <v>394</v>
      </c>
      <c r="B43" s="477" t="s">
        <v>383</v>
      </c>
      <c r="C43" s="478" t="s">
        <v>384</v>
      </c>
    </row>
    <row r="44" spans="1:3" ht="12.75">
      <c r="A44" s="479" t="s">
        <v>385</v>
      </c>
      <c r="B44" s="480">
        <v>6843</v>
      </c>
      <c r="C44" s="481"/>
    </row>
    <row r="45" spans="1:3" ht="12.75">
      <c r="A45" s="479" t="s">
        <v>386</v>
      </c>
      <c r="B45" s="480">
        <v>1553</v>
      </c>
      <c r="C45" s="481"/>
    </row>
    <row r="46" spans="1:5" ht="12.75">
      <c r="A46" s="492" t="s">
        <v>392</v>
      </c>
      <c r="B46" s="507">
        <f>22+17</f>
        <v>39</v>
      </c>
      <c r="C46" s="508">
        <f>73693+34680</f>
        <v>108373</v>
      </c>
      <c r="E46" s="494">
        <f>C46/B46</f>
        <v>2778.7948717948716</v>
      </c>
    </row>
    <row r="47" spans="1:3" ht="12.75">
      <c r="A47" s="482" t="s">
        <v>393</v>
      </c>
      <c r="B47" s="483">
        <f>B45*$A$1-B46</f>
        <v>87.4142</v>
      </c>
      <c r="C47" s="484">
        <f>B47*$E$71</f>
        <v>183569.81999999998</v>
      </c>
    </row>
    <row r="48" spans="1:3" ht="12.75">
      <c r="A48" s="497"/>
      <c r="B48" s="498"/>
      <c r="C48" s="489"/>
    </row>
    <row r="49" spans="1:3" ht="12.75">
      <c r="A49" s="495"/>
      <c r="B49" s="496"/>
      <c r="C49" s="475"/>
    </row>
    <row r="50" spans="1:3" ht="12.75">
      <c r="A50" s="476" t="s">
        <v>395</v>
      </c>
      <c r="B50" s="477" t="s">
        <v>383</v>
      </c>
      <c r="C50" s="478" t="s">
        <v>384</v>
      </c>
    </row>
    <row r="51" spans="1:3" ht="12.75">
      <c r="A51" s="479" t="s">
        <v>385</v>
      </c>
      <c r="B51" s="480">
        <v>8306</v>
      </c>
      <c r="C51" s="481"/>
    </row>
    <row r="52" spans="1:3" ht="12.75">
      <c r="A52" s="479" t="s">
        <v>386</v>
      </c>
      <c r="B52" s="480">
        <v>2323</v>
      </c>
      <c r="C52" s="481"/>
    </row>
    <row r="53" spans="1:5" ht="12.75">
      <c r="A53" s="492" t="s">
        <v>392</v>
      </c>
      <c r="B53" s="507">
        <v>25</v>
      </c>
      <c r="C53" s="508">
        <v>97698.6</v>
      </c>
      <c r="E53" s="494">
        <f>C53/B53</f>
        <v>3907.9440000000004</v>
      </c>
    </row>
    <row r="54" spans="1:3" ht="12.75">
      <c r="A54" s="482" t="s">
        <v>393</v>
      </c>
      <c r="B54" s="483">
        <f>B52*$A$1-B53</f>
        <v>164.0922</v>
      </c>
      <c r="C54" s="484">
        <f>B54*$E$71</f>
        <v>344593.62</v>
      </c>
    </row>
    <row r="55" spans="1:3" ht="12.75">
      <c r="A55" s="495"/>
      <c r="B55" s="496"/>
      <c r="C55" s="475"/>
    </row>
    <row r="56" spans="2:3" ht="12.75">
      <c r="B56" s="488"/>
      <c r="C56" s="489"/>
    </row>
    <row r="57" spans="1:3" ht="12.75">
      <c r="A57" s="476" t="s">
        <v>396</v>
      </c>
      <c r="B57" s="477" t="s">
        <v>383</v>
      </c>
      <c r="C57" s="478" t="s">
        <v>384</v>
      </c>
    </row>
    <row r="58" spans="1:5" ht="12.75">
      <c r="A58" s="479" t="s">
        <v>385</v>
      </c>
      <c r="B58" s="493">
        <v>5375</v>
      </c>
      <c r="C58" s="481">
        <v>11502572.35</v>
      </c>
      <c r="E58" s="499">
        <f>C58/B58</f>
        <v>2140.013460465116</v>
      </c>
    </row>
    <row r="59" spans="1:5" ht="12.75">
      <c r="A59" s="479" t="s">
        <v>386</v>
      </c>
      <c r="B59" s="493">
        <v>1352</v>
      </c>
      <c r="C59" s="481">
        <v>2418636</v>
      </c>
      <c r="E59" s="499">
        <f>C59/B59</f>
        <v>1788.9319526627219</v>
      </c>
    </row>
    <row r="60" spans="1:5" ht="12.75">
      <c r="A60" s="492" t="s">
        <v>392</v>
      </c>
      <c r="B60" s="493">
        <v>20</v>
      </c>
      <c r="C60" s="508">
        <v>75034</v>
      </c>
      <c r="E60" s="494">
        <f>C60/B60</f>
        <v>3751.7</v>
      </c>
    </row>
    <row r="61" spans="1:5" ht="12.75">
      <c r="A61" s="482" t="s">
        <v>393</v>
      </c>
      <c r="B61" s="483">
        <f>B59*$A$1-B60</f>
        <v>90.0528</v>
      </c>
      <c r="C61" s="500">
        <f>C59*$A$1-C60</f>
        <v>121842.97039999999</v>
      </c>
      <c r="E61" s="494">
        <f>C61/B61</f>
        <v>1353.0170122417069</v>
      </c>
    </row>
    <row r="62" spans="1:3" ht="12.75">
      <c r="A62" s="497"/>
      <c r="B62" s="498"/>
      <c r="C62" s="501"/>
    </row>
    <row r="63" spans="1:3" ht="12.75">
      <c r="A63" s="495"/>
      <c r="B63" s="496"/>
      <c r="C63" s="502"/>
    </row>
    <row r="64" spans="1:3" ht="12.75">
      <c r="A64" s="503" t="s">
        <v>397</v>
      </c>
      <c r="B64" s="477" t="s">
        <v>383</v>
      </c>
      <c r="C64" s="478" t="s">
        <v>384</v>
      </c>
    </row>
    <row r="65" spans="1:5" ht="12.75">
      <c r="A65" s="479" t="s">
        <v>385</v>
      </c>
      <c r="B65" s="493">
        <v>4936</v>
      </c>
      <c r="C65" s="481">
        <v>13400282</v>
      </c>
      <c r="E65" s="499">
        <f>C65/B65</f>
        <v>2714.805915721232</v>
      </c>
    </row>
    <row r="66" spans="1:5" ht="12.75">
      <c r="A66" s="479" t="s">
        <v>386</v>
      </c>
      <c r="B66" s="493">
        <v>1114</v>
      </c>
      <c r="C66" s="481">
        <v>2847902.22</v>
      </c>
      <c r="E66" s="499">
        <f>C66/B66</f>
        <v>2556.4651885098747</v>
      </c>
    </row>
    <row r="67" spans="1:5" ht="12.75">
      <c r="A67" s="492" t="s">
        <v>392</v>
      </c>
      <c r="B67" s="507">
        <v>24</v>
      </c>
      <c r="C67" s="508">
        <v>98876.15</v>
      </c>
      <c r="E67" s="494">
        <f>C67/B67</f>
        <v>4119.839583333333</v>
      </c>
    </row>
    <row r="68" spans="1:5" ht="12.75">
      <c r="A68" s="482" t="s">
        <v>393</v>
      </c>
      <c r="B68" s="483">
        <f>B66*$A$1-B67</f>
        <v>66.6796</v>
      </c>
      <c r="C68" s="500">
        <f>C66*$A$1-C67</f>
        <v>132943.09070800003</v>
      </c>
      <c r="E68" s="494">
        <f>C68/B68</f>
        <v>1993.7595712631755</v>
      </c>
    </row>
    <row r="69" spans="2:5" ht="12.75">
      <c r="B69" s="486"/>
      <c r="E69" s="504" t="s">
        <v>398</v>
      </c>
    </row>
    <row r="70" ht="12.75">
      <c r="E70" s="505" t="s">
        <v>194</v>
      </c>
    </row>
    <row r="71" ht="12.75">
      <c r="E71" s="506">
        <v>2100</v>
      </c>
    </row>
  </sheetData>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WinuE</cp:lastModifiedBy>
  <cp:lastPrinted>2011-01-23T11:12:52Z</cp:lastPrinted>
  <dcterms:created xsi:type="dcterms:W3CDTF">2010-11-09T20:00:11Z</dcterms:created>
  <dcterms:modified xsi:type="dcterms:W3CDTF">2011-05-14T10:46:40Z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